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shortcut-targets-by-id\1XWk-APfWN4EQvpNVfC9ss9BkXsoyLvU9\White Paper   Data Centers in Space\"/>
    </mc:Choice>
  </mc:AlternateContent>
  <xr:revisionPtr revIDLastSave="0" documentId="13_ncr:1_{A8A09A08-CE23-422E-9BA9-3C53FF2B80A8}" xr6:coauthVersionLast="47" xr6:coauthVersionMax="47" xr10:uidLastSave="{00000000-0000-0000-0000-000000000000}"/>
  <bookViews>
    <workbookView xWindow="-120" yWindow="-120" windowWidth="29040" windowHeight="17520" xr2:uid="{A82992D2-032F-4FC7-AEF8-C001FAF55CEE}"/>
  </bookViews>
  <sheets>
    <sheet name="Overview" sheetId="2" r:id="rId1"/>
    <sheet name="Model" sheetId="12" r:id="rId2"/>
    <sheet name="Tabular Data for Plots" sheetId="23" state="hidden" r:id="rId3"/>
    <sheet name="TDC Metrics" sheetId="25" r:id="rId4"/>
    <sheet name="Compute Metrics" sheetId="14" r:id="rId5"/>
    <sheet name="ODC Metrics" sheetId="2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6" i="12" l="1"/>
  <c r="R96" i="12"/>
  <c r="S96" i="12"/>
  <c r="T96" i="12"/>
  <c r="U96" i="12"/>
  <c r="AM96" i="12" l="1"/>
  <c r="AL96" i="12"/>
  <c r="AK96" i="12"/>
  <c r="AJ96" i="12"/>
  <c r="AM88" i="12"/>
  <c r="AL88" i="12"/>
  <c r="AK88" i="12"/>
  <c r="AJ88" i="12"/>
  <c r="AM30" i="12"/>
  <c r="AL30" i="12"/>
  <c r="AK30" i="12"/>
  <c r="AJ30" i="12"/>
  <c r="AM70" i="12"/>
  <c r="AL70" i="12"/>
  <c r="AK70" i="12"/>
  <c r="AJ70" i="12"/>
  <c r="AM69" i="12"/>
  <c r="AL69" i="12"/>
  <c r="AK69" i="12"/>
  <c r="AJ69" i="12"/>
  <c r="AM67" i="12"/>
  <c r="AM68" i="12" s="1"/>
  <c r="AL67" i="12"/>
  <c r="AL68" i="12" s="1"/>
  <c r="AK67" i="12"/>
  <c r="AK68" i="12" s="1"/>
  <c r="AJ67" i="12"/>
  <c r="AJ68" i="12" s="1"/>
  <c r="AM58" i="12"/>
  <c r="AL58" i="12"/>
  <c r="AK58" i="12"/>
  <c r="AJ58" i="12"/>
  <c r="AM57" i="12"/>
  <c r="AL57" i="12"/>
  <c r="AK57" i="12"/>
  <c r="AJ57" i="12"/>
  <c r="AM47" i="12"/>
  <c r="AL47" i="12"/>
  <c r="AK47" i="12"/>
  <c r="AJ47" i="12"/>
  <c r="AM46" i="12"/>
  <c r="AL46" i="12"/>
  <c r="AK46" i="12"/>
  <c r="AJ46" i="12"/>
  <c r="AM45" i="12"/>
  <c r="AL45" i="12"/>
  <c r="AK45" i="12"/>
  <c r="AJ45" i="12"/>
  <c r="AM44" i="12"/>
  <c r="AL44" i="12"/>
  <c r="AK44" i="12"/>
  <c r="AJ44" i="12"/>
  <c r="AM29" i="12"/>
  <c r="AL29" i="12"/>
  <c r="AK29" i="12"/>
  <c r="AJ29" i="12"/>
  <c r="AM28" i="12"/>
  <c r="AL28" i="12"/>
  <c r="AK28" i="12"/>
  <c r="AJ28" i="12"/>
  <c r="AM27" i="12"/>
  <c r="AL27" i="12"/>
  <c r="AK27" i="12"/>
  <c r="AJ27" i="12"/>
  <c r="AM26" i="12"/>
  <c r="AL26" i="12"/>
  <c r="AK26" i="12"/>
  <c r="AJ26" i="12"/>
  <c r="AM25" i="12"/>
  <c r="AL25" i="12"/>
  <c r="AK25" i="12"/>
  <c r="AJ25" i="12"/>
  <c r="AM24" i="12"/>
  <c r="AL24" i="12"/>
  <c r="AK24" i="12"/>
  <c r="AJ24" i="12"/>
  <c r="AM23" i="12"/>
  <c r="AL23" i="12"/>
  <c r="AK23" i="12"/>
  <c r="AJ23" i="12"/>
  <c r="AM22" i="12"/>
  <c r="AL22" i="12"/>
  <c r="AK22" i="12"/>
  <c r="AJ22" i="12"/>
  <c r="AM13" i="12"/>
  <c r="AL13" i="12"/>
  <c r="AK13" i="12"/>
  <c r="AJ13" i="12"/>
  <c r="AA30" i="12"/>
  <c r="AB30" i="12"/>
  <c r="AC30" i="12"/>
  <c r="AD30" i="12"/>
  <c r="Z30" i="12"/>
  <c r="AI30" i="12"/>
  <c r="AI70" i="12"/>
  <c r="AI69" i="12"/>
  <c r="AI67" i="12"/>
  <c r="AI68" i="12" s="1"/>
  <c r="AI58" i="12"/>
  <c r="AI57" i="12"/>
  <c r="AI47" i="12"/>
  <c r="AI46" i="12"/>
  <c r="AI45" i="12"/>
  <c r="AI44" i="12"/>
  <c r="AI29" i="12"/>
  <c r="AI28" i="12"/>
  <c r="AI27" i="12"/>
  <c r="AI26" i="12"/>
  <c r="AI25" i="12"/>
  <c r="AI24" i="12"/>
  <c r="AI23" i="12"/>
  <c r="AI22" i="12"/>
  <c r="AI13" i="12"/>
  <c r="AI96" i="12"/>
  <c r="AI88" i="12"/>
  <c r="AM9" i="12"/>
  <c r="AM10" i="12" s="1"/>
  <c r="AL9" i="12"/>
  <c r="AL10" i="12" s="1"/>
  <c r="AK9" i="12"/>
  <c r="AK10" i="12" s="1"/>
  <c r="AJ9" i="12"/>
  <c r="AJ10" i="12" s="1"/>
  <c r="AI9" i="12"/>
  <c r="AI10" i="12" s="1"/>
  <c r="AD88" i="12"/>
  <c r="AC88" i="12"/>
  <c r="AB88" i="12"/>
  <c r="AA88" i="12"/>
  <c r="AD70" i="12"/>
  <c r="AC70" i="12"/>
  <c r="AB70" i="12"/>
  <c r="AA70" i="12"/>
  <c r="AD69" i="12"/>
  <c r="AC69" i="12"/>
  <c r="AB69" i="12"/>
  <c r="AA69" i="12"/>
  <c r="AD67" i="12"/>
  <c r="AD68" i="12" s="1"/>
  <c r="AC67" i="12"/>
  <c r="AC68" i="12" s="1"/>
  <c r="AB67" i="12"/>
  <c r="AB68" i="12" s="1"/>
  <c r="AA67" i="12"/>
  <c r="AA68" i="12" s="1"/>
  <c r="AD58" i="12"/>
  <c r="AC58" i="12"/>
  <c r="AB58" i="12"/>
  <c r="AA58" i="12"/>
  <c r="AD57" i="12"/>
  <c r="AC57" i="12"/>
  <c r="AB57" i="12"/>
  <c r="AA57" i="12"/>
  <c r="AD47" i="12"/>
  <c r="AC47" i="12"/>
  <c r="AB47" i="12"/>
  <c r="AA47" i="12"/>
  <c r="AD46" i="12"/>
  <c r="AC46" i="12"/>
  <c r="AB46" i="12"/>
  <c r="AA46" i="12"/>
  <c r="AD45" i="12"/>
  <c r="AC45" i="12"/>
  <c r="AB45" i="12"/>
  <c r="AA45" i="12"/>
  <c r="AD44" i="12"/>
  <c r="AC44" i="12"/>
  <c r="AB44" i="12"/>
  <c r="AA44" i="12"/>
  <c r="AD29" i="12"/>
  <c r="AC29" i="12"/>
  <c r="AB29" i="12"/>
  <c r="AA29" i="12"/>
  <c r="AD28" i="12"/>
  <c r="AC28" i="12"/>
  <c r="AB28" i="12"/>
  <c r="AA28" i="12"/>
  <c r="AD27" i="12"/>
  <c r="AC27" i="12"/>
  <c r="AB27" i="12"/>
  <c r="AA27" i="12"/>
  <c r="AD26" i="12"/>
  <c r="AC26" i="12"/>
  <c r="AB26" i="12"/>
  <c r="AA26" i="12"/>
  <c r="AD25" i="12"/>
  <c r="AC25" i="12"/>
  <c r="AB25" i="12"/>
  <c r="AA25" i="12"/>
  <c r="AD24" i="12"/>
  <c r="AC24" i="12"/>
  <c r="AB24" i="12"/>
  <c r="AA24" i="12"/>
  <c r="AD23" i="12"/>
  <c r="AC23" i="12"/>
  <c r="AB23" i="12"/>
  <c r="AA23" i="12"/>
  <c r="AD22" i="12"/>
  <c r="AC22" i="12"/>
  <c r="AB22" i="12"/>
  <c r="AA22" i="12"/>
  <c r="AD13" i="12"/>
  <c r="AC13" i="12"/>
  <c r="AB13" i="12"/>
  <c r="AA13" i="12"/>
  <c r="Z70" i="12"/>
  <c r="Z69" i="12"/>
  <c r="Z67" i="12"/>
  <c r="Z68" i="12" s="1"/>
  <c r="Z57" i="12"/>
  <c r="Z58" i="12"/>
  <c r="Z47" i="12"/>
  <c r="Z46" i="12"/>
  <c r="Z45" i="12"/>
  <c r="Z44" i="12"/>
  <c r="Z29" i="12"/>
  <c r="Z28" i="12"/>
  <c r="Z27" i="12"/>
  <c r="Z25" i="12"/>
  <c r="Z26" i="12"/>
  <c r="Z24" i="12"/>
  <c r="Z23" i="12"/>
  <c r="Z22" i="12"/>
  <c r="Z13" i="12"/>
  <c r="Z88" i="12"/>
  <c r="AD9" i="12"/>
  <c r="AD10" i="12" s="1"/>
  <c r="AC9" i="12"/>
  <c r="AC10" i="12" s="1"/>
  <c r="AB9" i="12"/>
  <c r="AB10" i="12" s="1"/>
  <c r="AA9" i="12"/>
  <c r="AA10" i="12" s="1"/>
  <c r="Z9" i="12"/>
  <c r="Z10" i="12" s="1"/>
  <c r="R9" i="12"/>
  <c r="S9" i="12"/>
  <c r="T9" i="12"/>
  <c r="T10" i="12" s="1"/>
  <c r="U9" i="12"/>
  <c r="U10" i="12" s="1"/>
  <c r="Q9" i="12"/>
  <c r="R30" i="12"/>
  <c r="S30" i="12"/>
  <c r="T30" i="12"/>
  <c r="U30" i="12"/>
  <c r="Q30" i="12"/>
  <c r="Q69" i="12"/>
  <c r="U88" i="12"/>
  <c r="U70" i="12"/>
  <c r="U69" i="12"/>
  <c r="U67" i="12"/>
  <c r="U68" i="12" s="1"/>
  <c r="U58" i="12"/>
  <c r="U57" i="12"/>
  <c r="U47" i="12"/>
  <c r="U46" i="12"/>
  <c r="U45" i="12"/>
  <c r="U44" i="12"/>
  <c r="U29" i="12"/>
  <c r="U28" i="12"/>
  <c r="U27" i="12"/>
  <c r="U26" i="12"/>
  <c r="U25" i="12"/>
  <c r="U24" i="12"/>
  <c r="U23" i="12"/>
  <c r="U22" i="12"/>
  <c r="U13" i="12"/>
  <c r="T88" i="12"/>
  <c r="T70" i="12"/>
  <c r="T69" i="12"/>
  <c r="T67" i="12"/>
  <c r="T68" i="12" s="1"/>
  <c r="T58" i="12"/>
  <c r="T57" i="12"/>
  <c r="T47" i="12"/>
  <c r="T46" i="12"/>
  <c r="T45" i="12"/>
  <c r="T44" i="12"/>
  <c r="T29" i="12"/>
  <c r="T28" i="12"/>
  <c r="T27" i="12"/>
  <c r="T26" i="12"/>
  <c r="T25" i="12"/>
  <c r="T24" i="12"/>
  <c r="T23" i="12"/>
  <c r="T22" i="12"/>
  <c r="T13" i="12"/>
  <c r="S88" i="12"/>
  <c r="S70" i="12"/>
  <c r="S69" i="12"/>
  <c r="S67" i="12"/>
  <c r="S68" i="12" s="1"/>
  <c r="S58" i="12"/>
  <c r="S57" i="12"/>
  <c r="S47" i="12"/>
  <c r="S46" i="12"/>
  <c r="S45" i="12"/>
  <c r="S44" i="12"/>
  <c r="S29" i="12"/>
  <c r="S28" i="12"/>
  <c r="S27" i="12"/>
  <c r="S26" i="12"/>
  <c r="S25" i="12"/>
  <c r="S24" i="12"/>
  <c r="S23" i="12"/>
  <c r="S22" i="12"/>
  <c r="S13" i="12"/>
  <c r="R88" i="12"/>
  <c r="R70" i="12"/>
  <c r="R69" i="12"/>
  <c r="R67" i="12"/>
  <c r="R68" i="12" s="1"/>
  <c r="R58" i="12"/>
  <c r="R57" i="12"/>
  <c r="R47" i="12"/>
  <c r="R46" i="12"/>
  <c r="R45" i="12"/>
  <c r="R44" i="12"/>
  <c r="R29" i="12"/>
  <c r="R28" i="12"/>
  <c r="R27" i="12"/>
  <c r="R26" i="12"/>
  <c r="R25" i="12"/>
  <c r="R24" i="12"/>
  <c r="R23" i="12"/>
  <c r="R22" i="12"/>
  <c r="R13" i="12"/>
  <c r="Q88" i="12"/>
  <c r="Q70" i="12"/>
  <c r="Q67" i="12"/>
  <c r="Q68" i="12" s="1"/>
  <c r="Q58" i="12"/>
  <c r="Q57" i="12"/>
  <c r="Q47" i="12"/>
  <c r="Q46" i="12"/>
  <c r="Q45" i="12"/>
  <c r="Q44" i="12"/>
  <c r="Q29" i="12"/>
  <c r="Q28" i="12"/>
  <c r="Q27" i="12"/>
  <c r="Q26" i="12"/>
  <c r="Q25" i="12"/>
  <c r="Q24" i="12"/>
  <c r="Q23" i="12"/>
  <c r="Q22" i="12"/>
  <c r="Q13" i="12"/>
  <c r="J70" i="12"/>
  <c r="J69" i="12"/>
  <c r="J68" i="12"/>
  <c r="J67" i="12"/>
  <c r="J58" i="12"/>
  <c r="J57" i="12"/>
  <c r="J47" i="12"/>
  <c r="J46" i="12"/>
  <c r="J45" i="12"/>
  <c r="J44" i="12"/>
  <c r="J29" i="12"/>
  <c r="J28" i="12"/>
  <c r="J27" i="12"/>
  <c r="J26" i="12"/>
  <c r="J25" i="12"/>
  <c r="J24" i="12"/>
  <c r="J23" i="12"/>
  <c r="J22" i="12"/>
  <c r="J13" i="12"/>
  <c r="C60" i="12"/>
  <c r="C59" i="12"/>
  <c r="C58" i="12"/>
  <c r="C57" i="12"/>
  <c r="C45" i="12"/>
  <c r="C44" i="12"/>
  <c r="C30" i="12"/>
  <c r="C29" i="12"/>
  <c r="C28" i="12"/>
  <c r="C27" i="12"/>
  <c r="C26" i="12"/>
  <c r="C25" i="12"/>
  <c r="C24" i="12"/>
  <c r="C23" i="12"/>
  <c r="C22" i="12"/>
  <c r="C14" i="12"/>
  <c r="C13" i="12"/>
  <c r="W60" i="23"/>
  <c r="X60" i="23" s="1"/>
  <c r="W61" i="23"/>
  <c r="W62" i="23"/>
  <c r="W63" i="23"/>
  <c r="W64" i="23"/>
  <c r="W65" i="23"/>
  <c r="W66" i="23"/>
  <c r="W67" i="23"/>
  <c r="W68" i="23"/>
  <c r="W69" i="23"/>
  <c r="W70" i="23"/>
  <c r="W71" i="23"/>
  <c r="W72" i="23"/>
  <c r="W73" i="23"/>
  <c r="W74" i="23"/>
  <c r="W75" i="23"/>
  <c r="W76" i="23"/>
  <c r="W77" i="23"/>
  <c r="W78" i="23"/>
  <c r="W59" i="23"/>
  <c r="K60" i="23"/>
  <c r="L60" i="23" s="1"/>
  <c r="K61" i="23"/>
  <c r="K62" i="23"/>
  <c r="K63" i="23"/>
  <c r="K64" i="23"/>
  <c r="K65" i="23"/>
  <c r="K66" i="23"/>
  <c r="K67" i="23"/>
  <c r="K68" i="23"/>
  <c r="K69" i="23"/>
  <c r="K70" i="23"/>
  <c r="K71" i="23"/>
  <c r="K72" i="23"/>
  <c r="K73" i="23"/>
  <c r="K74" i="23"/>
  <c r="K75" i="23"/>
  <c r="K76" i="23"/>
  <c r="K77" i="23"/>
  <c r="K78" i="23"/>
  <c r="K59" i="23"/>
  <c r="J60" i="23"/>
  <c r="J61" i="23"/>
  <c r="J62" i="23"/>
  <c r="J63" i="23"/>
  <c r="J64" i="23"/>
  <c r="J65" i="23"/>
  <c r="J66" i="23"/>
  <c r="J67" i="23"/>
  <c r="J68" i="23"/>
  <c r="J69" i="23"/>
  <c r="J70" i="23"/>
  <c r="J71" i="23"/>
  <c r="J72" i="23"/>
  <c r="J73" i="23"/>
  <c r="J74" i="23"/>
  <c r="J75" i="23"/>
  <c r="J76" i="23"/>
  <c r="J77" i="23"/>
  <c r="J78" i="23"/>
  <c r="J59" i="23"/>
  <c r="W34" i="23"/>
  <c r="X34" i="23" s="1"/>
  <c r="W35" i="23"/>
  <c r="W36" i="23"/>
  <c r="W37" i="23"/>
  <c r="W38" i="23"/>
  <c r="W39" i="23"/>
  <c r="W40" i="23"/>
  <c r="W41" i="23"/>
  <c r="W42" i="23"/>
  <c r="W43" i="23"/>
  <c r="W44" i="23"/>
  <c r="W45" i="23"/>
  <c r="W46" i="23"/>
  <c r="W47" i="23"/>
  <c r="W48" i="23"/>
  <c r="W49" i="23"/>
  <c r="W50" i="23"/>
  <c r="W51" i="23"/>
  <c r="W52" i="23"/>
  <c r="W33" i="23"/>
  <c r="K34" i="23"/>
  <c r="L34" i="23" s="1"/>
  <c r="K35" i="23"/>
  <c r="K36" i="23"/>
  <c r="K37" i="23"/>
  <c r="K38" i="23"/>
  <c r="K39" i="23"/>
  <c r="K40" i="23"/>
  <c r="K41" i="23"/>
  <c r="K42" i="23"/>
  <c r="K43" i="23"/>
  <c r="K44" i="23"/>
  <c r="K45" i="23"/>
  <c r="K46" i="23"/>
  <c r="K47" i="23"/>
  <c r="K48" i="23"/>
  <c r="K49" i="23"/>
  <c r="K50" i="23"/>
  <c r="K51" i="23"/>
  <c r="K52" i="23"/>
  <c r="K33" i="23"/>
  <c r="J34" i="23"/>
  <c r="J35" i="23"/>
  <c r="J36" i="23"/>
  <c r="J37" i="23"/>
  <c r="J38" i="23"/>
  <c r="J39" i="23"/>
  <c r="J40" i="23"/>
  <c r="J41" i="23"/>
  <c r="J42" i="23"/>
  <c r="J43" i="23"/>
  <c r="J44" i="23"/>
  <c r="J45" i="23"/>
  <c r="J46" i="23"/>
  <c r="J47" i="23"/>
  <c r="J48" i="23"/>
  <c r="J49" i="23"/>
  <c r="J50" i="23"/>
  <c r="J51" i="23"/>
  <c r="J52" i="23"/>
  <c r="J33" i="23"/>
  <c r="AL32" i="12" l="1"/>
  <c r="AL33" i="12"/>
  <c r="AM33" i="12"/>
  <c r="T32" i="12"/>
  <c r="AC32" i="12"/>
  <c r="AL50" i="12"/>
  <c r="AL51" i="12" s="1"/>
  <c r="AL53" i="12" s="1"/>
  <c r="AM50" i="12"/>
  <c r="AM52" i="12" s="1"/>
  <c r="AM54" i="12" s="1"/>
  <c r="U33" i="12"/>
  <c r="U34" i="12"/>
  <c r="T33" i="12"/>
  <c r="U32" i="12"/>
  <c r="AJ32" i="12"/>
  <c r="AK32" i="12"/>
  <c r="AB15" i="12"/>
  <c r="AB62" i="12" s="1"/>
  <c r="AC15" i="12"/>
  <c r="AC82" i="12" s="1"/>
  <c r="AI50" i="12"/>
  <c r="AI52" i="12" s="1"/>
  <c r="AI54" i="12" s="1"/>
  <c r="U50" i="12"/>
  <c r="U52" i="12" s="1"/>
  <c r="U54" i="12" s="1"/>
  <c r="AM15" i="12"/>
  <c r="AM82" i="12" s="1"/>
  <c r="Z50" i="12"/>
  <c r="Z52" i="12" s="1"/>
  <c r="Z54" i="12" s="1"/>
  <c r="AD33" i="12"/>
  <c r="AD50" i="12"/>
  <c r="AD52" i="12" s="1"/>
  <c r="AD54" i="12" s="1"/>
  <c r="AA15" i="12"/>
  <c r="AA62" i="12" s="1"/>
  <c r="AA32" i="12"/>
  <c r="AI32" i="12"/>
  <c r="AL15" i="12"/>
  <c r="AL82" i="12" s="1"/>
  <c r="AD15" i="12"/>
  <c r="AD82" i="12" s="1"/>
  <c r="AD32" i="12"/>
  <c r="AI15" i="12"/>
  <c r="AI62" i="12" s="1"/>
  <c r="AB34" i="12"/>
  <c r="T50" i="12"/>
  <c r="T52" i="12" s="1"/>
  <c r="T54" i="12" s="1"/>
  <c r="AA33" i="12"/>
  <c r="AA50" i="12"/>
  <c r="AA52" i="12" s="1"/>
  <c r="AA54" i="12" s="1"/>
  <c r="AJ50" i="12"/>
  <c r="AJ51" i="12" s="1"/>
  <c r="AJ53" i="12" s="1"/>
  <c r="AB33" i="12"/>
  <c r="AB50" i="12"/>
  <c r="AB51" i="12" s="1"/>
  <c r="AB53" i="12" s="1"/>
  <c r="AJ15" i="12"/>
  <c r="AJ82" i="12" s="1"/>
  <c r="AJ34" i="12"/>
  <c r="AC33" i="12"/>
  <c r="AC50" i="12"/>
  <c r="AC51" i="12" s="1"/>
  <c r="AC53" i="12" s="1"/>
  <c r="AK15" i="12"/>
  <c r="AK82" i="12" s="1"/>
  <c r="AK34" i="12"/>
  <c r="AK50" i="12"/>
  <c r="AK52" i="12" s="1"/>
  <c r="AK54" i="12" s="1"/>
  <c r="AL34" i="12"/>
  <c r="AM32" i="12"/>
  <c r="AJ33" i="12"/>
  <c r="R32" i="12"/>
  <c r="R50" i="12"/>
  <c r="R51" i="12" s="1"/>
  <c r="AK33" i="12"/>
  <c r="AM34" i="12"/>
  <c r="AI33" i="12"/>
  <c r="AI34" i="12"/>
  <c r="AC34" i="12"/>
  <c r="AD34" i="12"/>
  <c r="AA34" i="12"/>
  <c r="AB32" i="12"/>
  <c r="Z33" i="12"/>
  <c r="Z32" i="12"/>
  <c r="Z34" i="12"/>
  <c r="Z15" i="12"/>
  <c r="S50" i="12"/>
  <c r="S51" i="12" s="1"/>
  <c r="R33" i="12"/>
  <c r="U15" i="12"/>
  <c r="U82" i="12" s="1"/>
  <c r="T15" i="12"/>
  <c r="T34" i="12"/>
  <c r="Q32" i="12"/>
  <c r="S33" i="12"/>
  <c r="S32" i="12"/>
  <c r="Q50" i="12"/>
  <c r="Q52" i="12" s="1"/>
  <c r="Q33" i="12"/>
  <c r="L47" i="23"/>
  <c r="L48" i="23" s="1"/>
  <c r="L37" i="23"/>
  <c r="L63" i="23"/>
  <c r="L64" i="23" s="1"/>
  <c r="L42" i="23"/>
  <c r="L43" i="23" s="1"/>
  <c r="L52" i="23"/>
  <c r="L78" i="23"/>
  <c r="L68" i="23"/>
  <c r="X61" i="23"/>
  <c r="L73" i="23"/>
  <c r="X35" i="23"/>
  <c r="L61" i="23"/>
  <c r="L35" i="23"/>
  <c r="AC35" i="12" l="1"/>
  <c r="AC36" i="12" s="1"/>
  <c r="AL35" i="12"/>
  <c r="AL36" i="12" s="1"/>
  <c r="AL63" i="12" s="1"/>
  <c r="Z35" i="12"/>
  <c r="Z37" i="12" s="1"/>
  <c r="AM35" i="12"/>
  <c r="AM36" i="12" s="1"/>
  <c r="AM83" i="12" s="1"/>
  <c r="AK35" i="12"/>
  <c r="AK37" i="12" s="1"/>
  <c r="AJ35" i="12"/>
  <c r="AJ37" i="12" s="1"/>
  <c r="AB35" i="12"/>
  <c r="AB37" i="12" s="1"/>
  <c r="T35" i="12"/>
  <c r="T36" i="12" s="1"/>
  <c r="U35" i="12"/>
  <c r="U36" i="12" s="1"/>
  <c r="AD35" i="12"/>
  <c r="AD37" i="12" s="1"/>
  <c r="AI35" i="12"/>
  <c r="AI37" i="12" s="1"/>
  <c r="AA35" i="12"/>
  <c r="AA36" i="12" s="1"/>
  <c r="AD62" i="12"/>
  <c r="S52" i="12"/>
  <c r="AL52" i="12"/>
  <c r="AL54" i="12" s="1"/>
  <c r="U51" i="12"/>
  <c r="U53" i="12" s="1"/>
  <c r="U64" i="12" s="1"/>
  <c r="AL62" i="12"/>
  <c r="AA51" i="12"/>
  <c r="AA53" i="12" s="1"/>
  <c r="AA64" i="12" s="1"/>
  <c r="AM62" i="12"/>
  <c r="AK62" i="12"/>
  <c r="AM51" i="12"/>
  <c r="AM53" i="12" s="1"/>
  <c r="AM64" i="12" s="1"/>
  <c r="AI51" i="12"/>
  <c r="AI53" i="12" s="1"/>
  <c r="AI64" i="12" s="1"/>
  <c r="AC52" i="12"/>
  <c r="AC54" i="12" s="1"/>
  <c r="T51" i="12"/>
  <c r="T53" i="12" s="1"/>
  <c r="T64" i="12" s="1"/>
  <c r="R52" i="12"/>
  <c r="AB82" i="12"/>
  <c r="AC62" i="12"/>
  <c r="AB52" i="12"/>
  <c r="AB54" i="12" s="1"/>
  <c r="AA82" i="12"/>
  <c r="AD51" i="12"/>
  <c r="AD53" i="12" s="1"/>
  <c r="AD64" i="12" s="1"/>
  <c r="AJ62" i="12"/>
  <c r="AI82" i="12"/>
  <c r="AK51" i="12"/>
  <c r="AK53" i="12" s="1"/>
  <c r="AK84" i="12" s="1"/>
  <c r="AJ52" i="12"/>
  <c r="AJ54" i="12" s="1"/>
  <c r="Z51" i="12"/>
  <c r="Z53" i="12" s="1"/>
  <c r="Z64" i="12" s="1"/>
  <c r="AJ84" i="12"/>
  <c r="AJ64" i="12"/>
  <c r="AL84" i="12"/>
  <c r="AL64" i="12"/>
  <c r="AC64" i="12"/>
  <c r="AC84" i="12"/>
  <c r="AB84" i="12"/>
  <c r="AB64" i="12"/>
  <c r="Z62" i="12"/>
  <c r="Z82" i="12"/>
  <c r="U62" i="12"/>
  <c r="T82" i="12"/>
  <c r="T62" i="12"/>
  <c r="Q51" i="12"/>
  <c r="L38" i="23"/>
  <c r="L39" i="23" s="1"/>
  <c r="L65" i="23"/>
  <c r="L66" i="23" s="1"/>
  <c r="L74" i="23"/>
  <c r="L69" i="23"/>
  <c r="X62" i="23"/>
  <c r="L62" i="23"/>
  <c r="X36" i="23"/>
  <c r="L49" i="23"/>
  <c r="L36" i="23"/>
  <c r="L44" i="23"/>
  <c r="AL37" i="12" l="1"/>
  <c r="AM37" i="12"/>
  <c r="AC37" i="12"/>
  <c r="AL83" i="12"/>
  <c r="AM63" i="12"/>
  <c r="AM65" i="12" s="1"/>
  <c r="AB36" i="12"/>
  <c r="T37" i="12"/>
  <c r="AK36" i="12"/>
  <c r="AK83" i="12" s="1"/>
  <c r="AC83" i="12"/>
  <c r="AC63" i="12"/>
  <c r="AC65" i="12" s="1"/>
  <c r="AC66" i="12" s="1"/>
  <c r="Z36" i="12"/>
  <c r="Z83" i="12" s="1"/>
  <c r="AI36" i="12"/>
  <c r="AI83" i="12" s="1"/>
  <c r="AA83" i="12"/>
  <c r="AA63" i="12"/>
  <c r="AA65" i="12" s="1"/>
  <c r="AA66" i="12" s="1"/>
  <c r="U83" i="12"/>
  <c r="U63" i="12"/>
  <c r="U65" i="12" s="1"/>
  <c r="T63" i="12"/>
  <c r="T65" i="12" s="1"/>
  <c r="T66" i="12" s="1"/>
  <c r="T83" i="12"/>
  <c r="AD36" i="12"/>
  <c r="AA37" i="12"/>
  <c r="U37" i="12"/>
  <c r="AJ36" i="12"/>
  <c r="AI84" i="12"/>
  <c r="U84" i="12"/>
  <c r="AM84" i="12"/>
  <c r="AL65" i="12"/>
  <c r="AL66" i="12" s="1"/>
  <c r="AA84" i="12"/>
  <c r="T84" i="12"/>
  <c r="AK64" i="12"/>
  <c r="AD84" i="12"/>
  <c r="Z84" i="12"/>
  <c r="L70" i="23"/>
  <c r="L75" i="23"/>
  <c r="L50" i="23"/>
  <c r="L67" i="23"/>
  <c r="L45" i="23"/>
  <c r="L40" i="23"/>
  <c r="AK63" i="12" l="1"/>
  <c r="AK65" i="12" s="1"/>
  <c r="AK66" i="12" s="1"/>
  <c r="AI63" i="12"/>
  <c r="AI65" i="12" s="1"/>
  <c r="Z63" i="12"/>
  <c r="Z65" i="12" s="1"/>
  <c r="AB83" i="12"/>
  <c r="AB63" i="12"/>
  <c r="AB65" i="12" s="1"/>
  <c r="AB66" i="12" s="1"/>
  <c r="AD63" i="12"/>
  <c r="AD65" i="12" s="1"/>
  <c r="AD66" i="12" s="1"/>
  <c r="AD83" i="12"/>
  <c r="AJ83" i="12"/>
  <c r="AJ63" i="12"/>
  <c r="AJ65" i="12" s="1"/>
  <c r="AJ66" i="12" s="1"/>
  <c r="AM66" i="12"/>
  <c r="U66" i="12"/>
  <c r="L71" i="23"/>
  <c r="L76" i="23"/>
  <c r="L51" i="23"/>
  <c r="L41" i="23"/>
  <c r="L46" i="23"/>
  <c r="AI66" i="12" l="1"/>
  <c r="Z66" i="12"/>
  <c r="L72" i="23"/>
  <c r="L77" i="23"/>
  <c r="D60" i="12" l="1"/>
  <c r="E60" i="12"/>
  <c r="K29" i="12"/>
  <c r="L29" i="12"/>
  <c r="J33" i="12"/>
  <c r="K28" i="12"/>
  <c r="L28" i="12"/>
  <c r="K27" i="12"/>
  <c r="L27" i="12"/>
  <c r="K23" i="12"/>
  <c r="L23" i="12"/>
  <c r="K24" i="12"/>
  <c r="L24" i="12"/>
  <c r="K25" i="12"/>
  <c r="L25" i="12"/>
  <c r="K26" i="12"/>
  <c r="L26" i="12"/>
  <c r="K22" i="12"/>
  <c r="L22" i="12"/>
  <c r="D23" i="12"/>
  <c r="E23" i="12"/>
  <c r="D24" i="12"/>
  <c r="E24" i="12"/>
  <c r="D25" i="12"/>
  <c r="E25" i="12"/>
  <c r="D26" i="12"/>
  <c r="E26" i="12"/>
  <c r="D27" i="12"/>
  <c r="E27" i="12"/>
  <c r="D28" i="12"/>
  <c r="E28" i="12"/>
  <c r="D22" i="12"/>
  <c r="E22" i="12"/>
  <c r="K70" i="12"/>
  <c r="L70" i="12"/>
  <c r="K69" i="12"/>
  <c r="L69" i="12"/>
  <c r="K68" i="12"/>
  <c r="L68" i="12"/>
  <c r="K67" i="12"/>
  <c r="L67" i="12"/>
  <c r="K58" i="12"/>
  <c r="K57" i="12"/>
  <c r="L57" i="12"/>
  <c r="L58" i="12"/>
  <c r="K33" i="12" l="1"/>
  <c r="L33" i="12"/>
  <c r="Y59" i="23"/>
  <c r="Y60" i="23"/>
  <c r="Y61" i="23"/>
  <c r="Y62" i="23"/>
  <c r="Y33" i="23"/>
  <c r="Y34" i="23"/>
  <c r="Y35" i="23"/>
  <c r="Y36" i="23"/>
  <c r="M33" i="23"/>
  <c r="M47" i="23"/>
  <c r="M34" i="23"/>
  <c r="M48" i="23"/>
  <c r="M35" i="23"/>
  <c r="M37" i="23"/>
  <c r="M43" i="23"/>
  <c r="M52" i="23"/>
  <c r="M42" i="23"/>
  <c r="M36" i="23"/>
  <c r="M39" i="23"/>
  <c r="M44" i="23"/>
  <c r="M49" i="23"/>
  <c r="M38" i="23"/>
  <c r="M45" i="23"/>
  <c r="M40" i="23"/>
  <c r="M50" i="23"/>
  <c r="M51" i="23"/>
  <c r="M46" i="23"/>
  <c r="M41" i="23"/>
  <c r="M59" i="23"/>
  <c r="M60" i="23"/>
  <c r="M61" i="23"/>
  <c r="M73" i="23"/>
  <c r="M64" i="23"/>
  <c r="M68" i="23"/>
  <c r="M63" i="23"/>
  <c r="M78" i="23"/>
  <c r="M74" i="23"/>
  <c r="M66" i="23"/>
  <c r="M65" i="23"/>
  <c r="M62" i="23"/>
  <c r="M69" i="23"/>
  <c r="M75" i="23"/>
  <c r="M70" i="23"/>
  <c r="M67" i="23"/>
  <c r="M71" i="23"/>
  <c r="M76" i="23"/>
  <c r="M77" i="23"/>
  <c r="M72" i="23"/>
  <c r="C69" i="12"/>
  <c r="C101" i="12"/>
  <c r="E69" i="12"/>
  <c r="E101" i="12"/>
  <c r="D69" i="12"/>
  <c r="D101" i="12"/>
  <c r="K47" i="12"/>
  <c r="L47" i="12"/>
  <c r="K46" i="12"/>
  <c r="L46" i="12"/>
  <c r="K45" i="12"/>
  <c r="L45" i="12"/>
  <c r="K44" i="12"/>
  <c r="L44" i="12"/>
  <c r="K13" i="12"/>
  <c r="L13" i="12"/>
  <c r="F8" i="26"/>
  <c r="G8" i="26"/>
  <c r="H8" i="26"/>
  <c r="C51" i="26"/>
  <c r="K14" i="12" l="1"/>
  <c r="AD14" i="12"/>
  <c r="AC14" i="12"/>
  <c r="Z14" i="12"/>
  <c r="AB14" i="12"/>
  <c r="AA14" i="12"/>
  <c r="L14" i="12"/>
  <c r="AM14" i="12"/>
  <c r="AL14" i="12"/>
  <c r="AK14" i="12"/>
  <c r="AI14" i="12"/>
  <c r="AJ14" i="12"/>
  <c r="R14" i="12"/>
  <c r="J14" i="12"/>
  <c r="U14" i="12"/>
  <c r="Q14" i="12"/>
  <c r="S14" i="12"/>
  <c r="T14" i="12"/>
  <c r="F66" i="23"/>
  <c r="F67" i="23"/>
  <c r="F75" i="23"/>
  <c r="E63" i="23"/>
  <c r="E71" i="23"/>
  <c r="E59" i="23"/>
  <c r="F68" i="23"/>
  <c r="F76" i="23"/>
  <c r="E64" i="23"/>
  <c r="E72" i="23"/>
  <c r="F65" i="23"/>
  <c r="E77" i="23"/>
  <c r="F73" i="23"/>
  <c r="E62" i="23"/>
  <c r="F61" i="23"/>
  <c r="F69" i="23"/>
  <c r="F77" i="23"/>
  <c r="E65" i="23"/>
  <c r="E73" i="23"/>
  <c r="F62" i="23"/>
  <c r="F70" i="23"/>
  <c r="F78" i="23"/>
  <c r="E66" i="23"/>
  <c r="E74" i="23"/>
  <c r="E69" i="23"/>
  <c r="E78" i="23"/>
  <c r="F63" i="23"/>
  <c r="F71" i="23"/>
  <c r="E67" i="23"/>
  <c r="E75" i="23"/>
  <c r="F64" i="23"/>
  <c r="F72" i="23"/>
  <c r="E60" i="23"/>
  <c r="E68" i="23"/>
  <c r="E76" i="23"/>
  <c r="E61" i="23"/>
  <c r="E70" i="23"/>
  <c r="F74" i="23"/>
  <c r="F39" i="23"/>
  <c r="F47" i="23"/>
  <c r="E35" i="23"/>
  <c r="E43" i="23"/>
  <c r="E51" i="23"/>
  <c r="F40" i="23"/>
  <c r="F48" i="23"/>
  <c r="E36" i="23"/>
  <c r="E52" i="23"/>
  <c r="F45" i="23"/>
  <c r="E44" i="23"/>
  <c r="E49" i="23"/>
  <c r="E34" i="23"/>
  <c r="F41" i="23"/>
  <c r="F49" i="23"/>
  <c r="E37" i="23"/>
  <c r="E45" i="23"/>
  <c r="E33" i="23"/>
  <c r="F42" i="23"/>
  <c r="E38" i="23"/>
  <c r="E46" i="23"/>
  <c r="E42" i="23"/>
  <c r="F50" i="23"/>
  <c r="E41" i="23"/>
  <c r="F35" i="23"/>
  <c r="F43" i="23"/>
  <c r="F51" i="23"/>
  <c r="E39" i="23"/>
  <c r="E47" i="23"/>
  <c r="F36" i="23"/>
  <c r="F44" i="23"/>
  <c r="F52" i="23"/>
  <c r="E40" i="23"/>
  <c r="E48" i="23"/>
  <c r="F37" i="23"/>
  <c r="F38" i="23"/>
  <c r="F46" i="23"/>
  <c r="E50" i="23"/>
  <c r="F12" i="23"/>
  <c r="F20" i="23"/>
  <c r="F24" i="23"/>
  <c r="F26" i="23"/>
  <c r="F19" i="23"/>
  <c r="F13" i="23"/>
  <c r="F21" i="23"/>
  <c r="F25" i="23"/>
  <c r="F18" i="23"/>
  <c r="F11" i="23"/>
  <c r="F14" i="23"/>
  <c r="F22" i="23"/>
  <c r="F16" i="23"/>
  <c r="F10" i="23"/>
  <c r="F15" i="23"/>
  <c r="F23" i="23"/>
  <c r="F17" i="23"/>
  <c r="K88" i="12"/>
  <c r="L88" i="12"/>
  <c r="K30" i="12"/>
  <c r="L30" i="12"/>
  <c r="K9" i="12"/>
  <c r="L9" i="12"/>
  <c r="J9" i="12"/>
  <c r="D58" i="12"/>
  <c r="E58" i="12"/>
  <c r="D57" i="12"/>
  <c r="E57" i="12"/>
  <c r="D45" i="12"/>
  <c r="E45" i="12"/>
  <c r="D44" i="12"/>
  <c r="E44" i="12"/>
  <c r="D30" i="12"/>
  <c r="E30" i="12"/>
  <c r="D29" i="12"/>
  <c r="E29" i="12"/>
  <c r="E14" i="12"/>
  <c r="D14" i="12"/>
  <c r="E13" i="12"/>
  <c r="D13" i="12"/>
  <c r="E10" i="12"/>
  <c r="D10" i="12"/>
  <c r="C10" i="12"/>
  <c r="C34" i="12" s="1"/>
  <c r="F15" i="25"/>
  <c r="E59" i="12" s="1"/>
  <c r="E15" i="25"/>
  <c r="D59" i="12" s="1"/>
  <c r="J231" i="25"/>
  <c r="I231" i="25"/>
  <c r="H136" i="25"/>
  <c r="G136" i="25"/>
  <c r="E102" i="25"/>
  <c r="E101" i="25"/>
  <c r="E100" i="25"/>
  <c r="G97" i="25"/>
  <c r="H92" i="25" s="1"/>
  <c r="J84" i="25"/>
  <c r="J85" i="25"/>
  <c r="J86" i="25"/>
  <c r="J87" i="25"/>
  <c r="J88" i="25"/>
  <c r="J83" i="25"/>
  <c r="I110" i="25" s="1"/>
  <c r="AM16" i="12" l="1"/>
  <c r="AM59" i="12" s="1"/>
  <c r="AM60" i="12" s="1"/>
  <c r="AM61" i="12" s="1"/>
  <c r="AM72" i="12" s="1"/>
  <c r="AM73" i="12" s="1"/>
  <c r="U16" i="12"/>
  <c r="U59" i="12" s="1"/>
  <c r="AA16" i="12"/>
  <c r="AA59" i="12" s="1"/>
  <c r="AL16" i="12"/>
  <c r="AL59" i="12" s="1"/>
  <c r="AJ16" i="12"/>
  <c r="AJ59" i="12" s="1"/>
  <c r="AJ60" i="12" s="1"/>
  <c r="AJ61" i="12" s="1"/>
  <c r="AJ72" i="12" s="1"/>
  <c r="AI16" i="12"/>
  <c r="AI59" i="12" s="1"/>
  <c r="AI60" i="12" s="1"/>
  <c r="AI61" i="12" s="1"/>
  <c r="AI72" i="12" s="1"/>
  <c r="AC16" i="12"/>
  <c r="AC59" i="12" s="1"/>
  <c r="AB16" i="12"/>
  <c r="AB59" i="12" s="1"/>
  <c r="Z16" i="12"/>
  <c r="Z59" i="12" s="1"/>
  <c r="T16" i="12"/>
  <c r="T59" i="12" s="1"/>
  <c r="AK16" i="12"/>
  <c r="AK59" i="12" s="1"/>
  <c r="AK60" i="12" s="1"/>
  <c r="AK61" i="12" s="1"/>
  <c r="AK72" i="12" s="1"/>
  <c r="AK78" i="12" s="1"/>
  <c r="AD16" i="12"/>
  <c r="AD59" i="12" s="1"/>
  <c r="J10" i="12"/>
  <c r="Q10" i="12"/>
  <c r="L10" i="12"/>
  <c r="L34" i="12" s="1"/>
  <c r="S10" i="12"/>
  <c r="K10" i="12"/>
  <c r="R10" i="12"/>
  <c r="V63" i="23"/>
  <c r="X63" i="23" s="1"/>
  <c r="V71" i="23"/>
  <c r="V59" i="23"/>
  <c r="V64" i="23"/>
  <c r="V72" i="23"/>
  <c r="V65" i="23"/>
  <c r="V73" i="23"/>
  <c r="X73" i="23" s="1"/>
  <c r="V66" i="23"/>
  <c r="V74" i="23"/>
  <c r="V67" i="23"/>
  <c r="V75" i="23"/>
  <c r="V60" i="23"/>
  <c r="V68" i="23"/>
  <c r="X68" i="23" s="1"/>
  <c r="V76" i="23"/>
  <c r="V61" i="23"/>
  <c r="V69" i="23"/>
  <c r="V77" i="23"/>
  <c r="V62" i="23"/>
  <c r="V70" i="23"/>
  <c r="V78" i="23"/>
  <c r="X78" i="23" s="1"/>
  <c r="Y78" i="23" s="1"/>
  <c r="V36" i="23"/>
  <c r="V44" i="23"/>
  <c r="V52" i="23"/>
  <c r="X52" i="23" s="1"/>
  <c r="Y52" i="23" s="1"/>
  <c r="V37" i="23"/>
  <c r="X37" i="23" s="1"/>
  <c r="V45" i="23"/>
  <c r="V33" i="23"/>
  <c r="V42" i="23"/>
  <c r="X42" i="23" s="1"/>
  <c r="V38" i="23"/>
  <c r="V46" i="23"/>
  <c r="V39" i="23"/>
  <c r="V51" i="23"/>
  <c r="V47" i="23"/>
  <c r="X47" i="23" s="1"/>
  <c r="V50" i="23"/>
  <c r="V40" i="23"/>
  <c r="V48" i="23"/>
  <c r="V41" i="23"/>
  <c r="V49" i="23"/>
  <c r="V43" i="23"/>
  <c r="V34" i="23"/>
  <c r="V35" i="23"/>
  <c r="K50" i="12"/>
  <c r="K52" i="12" s="1"/>
  <c r="L32" i="12"/>
  <c r="K32" i="12"/>
  <c r="L50" i="12"/>
  <c r="L51" i="12" s="1"/>
  <c r="E33" i="12"/>
  <c r="D64" i="12"/>
  <c r="E65" i="12"/>
  <c r="D65" i="12"/>
  <c r="E34" i="12"/>
  <c r="N70" i="23" s="1"/>
  <c r="D15" i="12"/>
  <c r="D16" i="12" s="1"/>
  <c r="D17" i="12" s="1"/>
  <c r="D18" i="12" s="1"/>
  <c r="D19" i="12" s="1"/>
  <c r="D88" i="12" s="1"/>
  <c r="D33" i="12"/>
  <c r="E63" i="12"/>
  <c r="E85" i="12" s="1"/>
  <c r="D63" i="12"/>
  <c r="D85" i="12" s="1"/>
  <c r="E64" i="12"/>
  <c r="E40" i="12"/>
  <c r="D40" i="12"/>
  <c r="E15" i="12"/>
  <c r="E16" i="12" s="1"/>
  <c r="E17" i="12" s="1"/>
  <c r="E18" i="12" s="1"/>
  <c r="E19" i="12" s="1"/>
  <c r="E88" i="12" s="1"/>
  <c r="D34" i="12"/>
  <c r="N48" i="23" s="1"/>
  <c r="E46" i="12"/>
  <c r="E47" i="12" s="1"/>
  <c r="E48" i="12" s="1"/>
  <c r="E90" i="12" s="1"/>
  <c r="D46" i="12"/>
  <c r="D47" i="12" s="1"/>
  <c r="D48" i="12" s="1"/>
  <c r="D90" i="12" s="1"/>
  <c r="I111" i="25"/>
  <c r="I109" i="25"/>
  <c r="H93" i="25"/>
  <c r="H95" i="25"/>
  <c r="H94" i="25"/>
  <c r="H96" i="25"/>
  <c r="L53" i="12" l="1"/>
  <c r="L64" i="12" s="1"/>
  <c r="AJ73" i="12"/>
  <c r="AJ74" i="12" s="1"/>
  <c r="AJ78" i="12"/>
  <c r="AM78" i="12"/>
  <c r="AI73" i="12"/>
  <c r="AI74" i="12" s="1"/>
  <c r="AI78" i="12"/>
  <c r="AD60" i="12"/>
  <c r="AD61" i="12" s="1"/>
  <c r="AD72" i="12" s="1"/>
  <c r="AB60" i="12"/>
  <c r="AB61" i="12" s="1"/>
  <c r="AB72" i="12" s="1"/>
  <c r="AL60" i="12"/>
  <c r="AL61" i="12" s="1"/>
  <c r="AL72" i="12" s="1"/>
  <c r="K54" i="12"/>
  <c r="R16" i="12"/>
  <c r="R54" i="12"/>
  <c r="AC60" i="12"/>
  <c r="AC61" i="12" s="1"/>
  <c r="AC72" i="12" s="1"/>
  <c r="AA60" i="12"/>
  <c r="AA61" i="12" s="1"/>
  <c r="AA72" i="12" s="1"/>
  <c r="AK73" i="12"/>
  <c r="AK74" i="12" s="1"/>
  <c r="T60" i="12"/>
  <c r="T61" i="12" s="1"/>
  <c r="T72" i="12" s="1"/>
  <c r="U60" i="12"/>
  <c r="U61" i="12" s="1"/>
  <c r="U72" i="12" s="1"/>
  <c r="S16" i="12"/>
  <c r="S54" i="12"/>
  <c r="Q16" i="12"/>
  <c r="Q54" i="12"/>
  <c r="Z60" i="12"/>
  <c r="Z61" i="12" s="1"/>
  <c r="Z72" i="12" s="1"/>
  <c r="L35" i="12"/>
  <c r="L36" i="12" s="1"/>
  <c r="L83" i="12" s="1"/>
  <c r="L15" i="12"/>
  <c r="L82" i="12" s="1"/>
  <c r="L16" i="12"/>
  <c r="K15" i="12"/>
  <c r="K82" i="12" s="1"/>
  <c r="K16" i="12"/>
  <c r="J34" i="12"/>
  <c r="J16" i="12"/>
  <c r="AD89" i="12"/>
  <c r="Z89" i="12"/>
  <c r="AL89" i="12"/>
  <c r="AA89" i="12"/>
  <c r="AI89" i="12"/>
  <c r="AK89" i="12"/>
  <c r="AJ89" i="12"/>
  <c r="AM89" i="12"/>
  <c r="AM74" i="12"/>
  <c r="AB89" i="12"/>
  <c r="AC89" i="12"/>
  <c r="U89" i="12"/>
  <c r="T89" i="12"/>
  <c r="K34" i="12"/>
  <c r="R34" i="12"/>
  <c r="R15" i="12"/>
  <c r="R53" i="12"/>
  <c r="S34" i="12"/>
  <c r="S15" i="12"/>
  <c r="S53" i="12"/>
  <c r="Q15" i="12"/>
  <c r="Q34" i="12"/>
  <c r="Q53" i="12"/>
  <c r="N64" i="23"/>
  <c r="N68" i="23"/>
  <c r="Y63" i="23"/>
  <c r="X64" i="23"/>
  <c r="N36" i="23"/>
  <c r="N43" i="23"/>
  <c r="N52" i="23"/>
  <c r="Y73" i="23"/>
  <c r="X74" i="23"/>
  <c r="N69" i="23"/>
  <c r="N38" i="23"/>
  <c r="N63" i="23"/>
  <c r="N44" i="23"/>
  <c r="N39" i="23"/>
  <c r="N42" i="23"/>
  <c r="Y42" i="23"/>
  <c r="X43" i="23"/>
  <c r="Y68" i="23"/>
  <c r="X69" i="23"/>
  <c r="N51" i="23"/>
  <c r="N34" i="23"/>
  <c r="D35" i="12"/>
  <c r="D66" i="12" s="1"/>
  <c r="D67" i="12" s="1"/>
  <c r="D68" i="12" s="1"/>
  <c r="D91" i="12" s="1"/>
  <c r="N49" i="23"/>
  <c r="N33" i="23"/>
  <c r="N37" i="23"/>
  <c r="N35" i="23"/>
  <c r="N50" i="23"/>
  <c r="N47" i="23"/>
  <c r="E35" i="12"/>
  <c r="E66" i="12" s="1"/>
  <c r="E67" i="12" s="1"/>
  <c r="E68" i="12" s="1"/>
  <c r="E91" i="12" s="1"/>
  <c r="N78" i="23"/>
  <c r="N76" i="23"/>
  <c r="N71" i="23"/>
  <c r="N66" i="23"/>
  <c r="N74" i="23"/>
  <c r="N60" i="23"/>
  <c r="N59" i="23"/>
  <c r="N67" i="23"/>
  <c r="N77" i="23"/>
  <c r="N72" i="23"/>
  <c r="N65" i="23"/>
  <c r="N62" i="23"/>
  <c r="N61" i="23"/>
  <c r="N41" i="23"/>
  <c r="N73" i="23"/>
  <c r="N40" i="23"/>
  <c r="Y47" i="23"/>
  <c r="X48" i="23"/>
  <c r="Y37" i="23"/>
  <c r="X38" i="23"/>
  <c r="N45" i="23"/>
  <c r="N46" i="23"/>
  <c r="N75" i="23"/>
  <c r="K51" i="12"/>
  <c r="K53" i="12" s="1"/>
  <c r="K64" i="12" s="1"/>
  <c r="L52" i="12"/>
  <c r="L54" i="12" s="1"/>
  <c r="E38" i="12"/>
  <c r="E39" i="12" s="1"/>
  <c r="E41" i="12" s="1"/>
  <c r="E89" i="12" s="1"/>
  <c r="D38" i="12"/>
  <c r="D39" i="12" s="1"/>
  <c r="D41" i="12" s="1"/>
  <c r="D89" i="12" s="1"/>
  <c r="Y7" i="23"/>
  <c r="W8" i="23"/>
  <c r="X8" i="23" s="1"/>
  <c r="Y8" i="23" s="1"/>
  <c r="W9" i="23"/>
  <c r="W10" i="23"/>
  <c r="W11" i="23"/>
  <c r="W12" i="23"/>
  <c r="W13" i="23"/>
  <c r="W14" i="23"/>
  <c r="W15" i="23"/>
  <c r="W16" i="23"/>
  <c r="W17" i="23"/>
  <c r="W18" i="23"/>
  <c r="W19" i="23"/>
  <c r="W20" i="23"/>
  <c r="W21" i="23"/>
  <c r="W22" i="23"/>
  <c r="W23" i="23"/>
  <c r="W24" i="23"/>
  <c r="W25" i="23"/>
  <c r="W26" i="23"/>
  <c r="W7" i="23"/>
  <c r="J30" i="12"/>
  <c r="V15" i="23" s="1"/>
  <c r="M7" i="23"/>
  <c r="K8" i="23"/>
  <c r="K9" i="23"/>
  <c r="K10" i="23"/>
  <c r="K11" i="23"/>
  <c r="K12" i="23"/>
  <c r="K13" i="23"/>
  <c r="K14" i="23"/>
  <c r="K15" i="23"/>
  <c r="K16" i="23"/>
  <c r="K17" i="23"/>
  <c r="K18" i="23"/>
  <c r="K19" i="23"/>
  <c r="K20" i="23"/>
  <c r="K21" i="23"/>
  <c r="K22" i="23"/>
  <c r="K23" i="23"/>
  <c r="K24" i="23"/>
  <c r="K25" i="23"/>
  <c r="K26" i="23"/>
  <c r="K7" i="23"/>
  <c r="J8" i="23"/>
  <c r="J9" i="23"/>
  <c r="J10" i="23"/>
  <c r="J11" i="23"/>
  <c r="J12" i="23"/>
  <c r="J13" i="23"/>
  <c r="J14" i="23"/>
  <c r="J15" i="23"/>
  <c r="J16" i="23"/>
  <c r="J17" i="23"/>
  <c r="J18" i="23"/>
  <c r="J19" i="23"/>
  <c r="J20" i="23"/>
  <c r="J21" i="23"/>
  <c r="J22" i="23"/>
  <c r="J23" i="23"/>
  <c r="J24" i="23"/>
  <c r="J25" i="23"/>
  <c r="J26" i="23"/>
  <c r="J7" i="23"/>
  <c r="L84" i="12" l="1"/>
  <c r="L37" i="12"/>
  <c r="L59" i="12" s="1"/>
  <c r="L60" i="12" s="1"/>
  <c r="L61" i="12" s="1"/>
  <c r="L62" i="12"/>
  <c r="AB78" i="12"/>
  <c r="AB73" i="12"/>
  <c r="AB74" i="12" s="1"/>
  <c r="AB75" i="12" s="1"/>
  <c r="AB76" i="12" s="1"/>
  <c r="AB77" i="12" s="1"/>
  <c r="AB91" i="12" s="1"/>
  <c r="AB92" i="12" s="1"/>
  <c r="AL73" i="12"/>
  <c r="AL74" i="12" s="1"/>
  <c r="AL75" i="12" s="1"/>
  <c r="AL76" i="12" s="1"/>
  <c r="AL78" i="12"/>
  <c r="AA78" i="12"/>
  <c r="AA73" i="12"/>
  <c r="AA74" i="12" s="1"/>
  <c r="AA85" i="12" s="1"/>
  <c r="AA86" i="12" s="1"/>
  <c r="Q35" i="12"/>
  <c r="Q37" i="12" s="1"/>
  <c r="Q59" i="12" s="1"/>
  <c r="R35" i="12"/>
  <c r="R37" i="12" s="1"/>
  <c r="R59" i="12" s="1"/>
  <c r="U78" i="12"/>
  <c r="U73" i="12"/>
  <c r="U74" i="12" s="1"/>
  <c r="U85" i="12" s="1"/>
  <c r="U86" i="12" s="1"/>
  <c r="AD78" i="12"/>
  <c r="AD73" i="12"/>
  <c r="AD74" i="12" s="1"/>
  <c r="AD85" i="12" s="1"/>
  <c r="AD86" i="12" s="1"/>
  <c r="Z78" i="12"/>
  <c r="Z73" i="12"/>
  <c r="Z74" i="12" s="1"/>
  <c r="Z75" i="12" s="1"/>
  <c r="Z76" i="12" s="1"/>
  <c r="Z77" i="12" s="1"/>
  <c r="Z91" i="12" s="1"/>
  <c r="Z92" i="12" s="1"/>
  <c r="T78" i="12"/>
  <c r="T73" i="12"/>
  <c r="T74" i="12" s="1"/>
  <c r="T85" i="12" s="1"/>
  <c r="T86" i="12" s="1"/>
  <c r="AC73" i="12"/>
  <c r="AC74" i="12" s="1"/>
  <c r="AC75" i="12" s="1"/>
  <c r="AC76" i="12" s="1"/>
  <c r="AC78" i="12"/>
  <c r="S35" i="12"/>
  <c r="S37" i="12" s="1"/>
  <c r="S59" i="12" s="1"/>
  <c r="J35" i="12"/>
  <c r="J37" i="12" s="1"/>
  <c r="K62" i="12"/>
  <c r="K35" i="12"/>
  <c r="K37" i="12" s="1"/>
  <c r="K59" i="12" s="1"/>
  <c r="AJ85" i="12"/>
  <c r="AJ86" i="12" s="1"/>
  <c r="AJ75" i="12"/>
  <c r="AJ76" i="12" s="1"/>
  <c r="AK75" i="12"/>
  <c r="AK76" i="12" s="1"/>
  <c r="AK77" i="12" s="1"/>
  <c r="AK91" i="12" s="1"/>
  <c r="AK85" i="12"/>
  <c r="AK86" i="12" s="1"/>
  <c r="AI75" i="12"/>
  <c r="AI76" i="12" s="1"/>
  <c r="AI77" i="12" s="1"/>
  <c r="AI91" i="12" s="1"/>
  <c r="AI92" i="12" s="1"/>
  <c r="AI85" i="12"/>
  <c r="AI86" i="12" s="1"/>
  <c r="AM85" i="12"/>
  <c r="AM86" i="12" s="1"/>
  <c r="AM75" i="12"/>
  <c r="AM76" i="12" s="1"/>
  <c r="AM77" i="12" s="1"/>
  <c r="AM91" i="12" s="1"/>
  <c r="L63" i="12"/>
  <c r="Q84" i="12"/>
  <c r="Q64" i="12"/>
  <c r="R64" i="12"/>
  <c r="R84" i="12"/>
  <c r="S62" i="12"/>
  <c r="S82" i="12"/>
  <c r="Q62" i="12"/>
  <c r="Q82" i="12"/>
  <c r="R82" i="12"/>
  <c r="R62" i="12"/>
  <c r="S64" i="12"/>
  <c r="S84" i="12"/>
  <c r="D36" i="12"/>
  <c r="D37" i="12" s="1"/>
  <c r="D83" i="12" s="1"/>
  <c r="D86" i="12" s="1"/>
  <c r="D87" i="12" s="1"/>
  <c r="D92" i="12"/>
  <c r="E92" i="12"/>
  <c r="E36" i="12"/>
  <c r="E37" i="12" s="1"/>
  <c r="E83" i="12" s="1"/>
  <c r="E86" i="12" s="1"/>
  <c r="E87" i="12" s="1"/>
  <c r="Y69" i="23"/>
  <c r="X70" i="23"/>
  <c r="Y38" i="23"/>
  <c r="X39" i="23"/>
  <c r="Y43" i="23"/>
  <c r="X44" i="23"/>
  <c r="Y74" i="23"/>
  <c r="X75" i="23"/>
  <c r="Y64" i="23"/>
  <c r="X65" i="23"/>
  <c r="Y48" i="23"/>
  <c r="X49" i="23"/>
  <c r="K84" i="12"/>
  <c r="V22" i="23"/>
  <c r="V14" i="23"/>
  <c r="V13" i="23"/>
  <c r="V21" i="23"/>
  <c r="X21" i="23" s="1"/>
  <c r="Y21" i="23" s="1"/>
  <c r="V20" i="23"/>
  <c r="V12" i="23"/>
  <c r="V7" i="23"/>
  <c r="V19" i="23"/>
  <c r="V11" i="23"/>
  <c r="X11" i="23" s="1"/>
  <c r="Y11" i="23" s="1"/>
  <c r="V26" i="23"/>
  <c r="X26" i="23" s="1"/>
  <c r="Y26" i="23" s="1"/>
  <c r="V18" i="23"/>
  <c r="V10" i="23"/>
  <c r="V25" i="23"/>
  <c r="V17" i="23"/>
  <c r="V9" i="23"/>
  <c r="V24" i="23"/>
  <c r="V16" i="23"/>
  <c r="X16" i="23" s="1"/>
  <c r="X17" i="23" s="1"/>
  <c r="V8" i="23"/>
  <c r="V23" i="23"/>
  <c r="X9" i="23"/>
  <c r="X10" i="23" s="1"/>
  <c r="Y10" i="23" s="1"/>
  <c r="L8" i="23"/>
  <c r="M8" i="23" s="1"/>
  <c r="L16" i="23"/>
  <c r="M16" i="23" s="1"/>
  <c r="L26" i="23"/>
  <c r="M26" i="23" s="1"/>
  <c r="J88" i="12"/>
  <c r="C65" i="12"/>
  <c r="G63" i="23" l="1"/>
  <c r="H63" i="23" s="1"/>
  <c r="E93" i="12"/>
  <c r="G37" i="23"/>
  <c r="H37" i="23" s="1"/>
  <c r="D93" i="12"/>
  <c r="D95" i="12"/>
  <c r="D96" i="12"/>
  <c r="D97" i="12"/>
  <c r="E97" i="12"/>
  <c r="E95" i="12"/>
  <c r="E96" i="12"/>
  <c r="AI97" i="12"/>
  <c r="L65" i="12"/>
  <c r="L66" i="12" s="1"/>
  <c r="F34" i="23"/>
  <c r="F59" i="23"/>
  <c r="T75" i="12"/>
  <c r="T76" i="12" s="1"/>
  <c r="T77" i="12" s="1"/>
  <c r="T91" i="12" s="1"/>
  <c r="T92" i="12" s="1"/>
  <c r="T97" i="12" s="1"/>
  <c r="J36" i="12"/>
  <c r="AL85" i="12"/>
  <c r="AL86" i="12" s="1"/>
  <c r="S36" i="12"/>
  <c r="S63" i="12" s="1"/>
  <c r="S65" i="12" s="1"/>
  <c r="AB85" i="12"/>
  <c r="AB86" i="12" s="1"/>
  <c r="AB97" i="12" s="1"/>
  <c r="AC85" i="12"/>
  <c r="AC86" i="12" s="1"/>
  <c r="AA75" i="12"/>
  <c r="AA76" i="12" s="1"/>
  <c r="AA77" i="12" s="1"/>
  <c r="AA91" i="12" s="1"/>
  <c r="AA92" i="12" s="1"/>
  <c r="AA97" i="12" s="1"/>
  <c r="R36" i="12"/>
  <c r="R63" i="12" s="1"/>
  <c r="R65" i="12" s="1"/>
  <c r="R66" i="12" s="1"/>
  <c r="Q36" i="12"/>
  <c r="Q83" i="12" s="1"/>
  <c r="R60" i="12"/>
  <c r="R61" i="12" s="1"/>
  <c r="R72" i="12" s="1"/>
  <c r="Q60" i="12"/>
  <c r="Q61" i="12" s="1"/>
  <c r="Q72" i="12" s="1"/>
  <c r="K36" i="12"/>
  <c r="AD75" i="12"/>
  <c r="AD76" i="12" s="1"/>
  <c r="AD77" i="12" s="1"/>
  <c r="AD91" i="12" s="1"/>
  <c r="AD92" i="12" s="1"/>
  <c r="AD97" i="12" s="1"/>
  <c r="Z85" i="12"/>
  <c r="Z86" i="12" s="1"/>
  <c r="Z97" i="12" s="1"/>
  <c r="U75" i="12"/>
  <c r="U76" i="12" s="1"/>
  <c r="U77" i="12" s="1"/>
  <c r="U91" i="12" s="1"/>
  <c r="U92" i="12" s="1"/>
  <c r="U97" i="12" s="1"/>
  <c r="S60" i="12"/>
  <c r="S61" i="12" s="1"/>
  <c r="S72" i="12" s="1"/>
  <c r="K60" i="12"/>
  <c r="K61" i="12" s="1"/>
  <c r="K72" i="12" s="1"/>
  <c r="AM92" i="12"/>
  <c r="AM97" i="12" s="1"/>
  <c r="AK92" i="12"/>
  <c r="AK97" i="12" s="1"/>
  <c r="AL77" i="12"/>
  <c r="AL91" i="12" s="1"/>
  <c r="AL92" i="12" s="1"/>
  <c r="AC77" i="12"/>
  <c r="AC91" i="12" s="1"/>
  <c r="AC92" i="12" s="1"/>
  <c r="AJ77" i="12"/>
  <c r="AJ91" i="12" s="1"/>
  <c r="AJ92" i="12" s="1"/>
  <c r="AJ97" i="12" s="1"/>
  <c r="G61" i="23"/>
  <c r="H61" i="23" s="1"/>
  <c r="F33" i="23"/>
  <c r="G39" i="23"/>
  <c r="H39" i="23" s="1"/>
  <c r="G38" i="23"/>
  <c r="H38" i="23" s="1"/>
  <c r="G36" i="23"/>
  <c r="H36" i="23" s="1"/>
  <c r="G40" i="23"/>
  <c r="H40" i="23" s="1"/>
  <c r="G42" i="23"/>
  <c r="H42" i="23" s="1"/>
  <c r="G49" i="23"/>
  <c r="H49" i="23" s="1"/>
  <c r="G68" i="23"/>
  <c r="H68" i="23" s="1"/>
  <c r="G35" i="23"/>
  <c r="H35" i="23" s="1"/>
  <c r="G44" i="23"/>
  <c r="H44" i="23" s="1"/>
  <c r="G33" i="23"/>
  <c r="G62" i="23"/>
  <c r="H62" i="23" s="1"/>
  <c r="G51" i="23"/>
  <c r="H51" i="23" s="1"/>
  <c r="G43" i="23"/>
  <c r="H43" i="23" s="1"/>
  <c r="G46" i="23"/>
  <c r="H46" i="23" s="1"/>
  <c r="G66" i="23"/>
  <c r="H66" i="23" s="1"/>
  <c r="G50" i="23"/>
  <c r="H50" i="23" s="1"/>
  <c r="G48" i="23"/>
  <c r="H48" i="23" s="1"/>
  <c r="G41" i="23"/>
  <c r="H41" i="23" s="1"/>
  <c r="G69" i="23"/>
  <c r="H69" i="23" s="1"/>
  <c r="G67" i="23"/>
  <c r="H67" i="23" s="1"/>
  <c r="G73" i="23"/>
  <c r="H73" i="23" s="1"/>
  <c r="F60" i="23"/>
  <c r="G70" i="23"/>
  <c r="H70" i="23" s="1"/>
  <c r="G59" i="23"/>
  <c r="G52" i="23"/>
  <c r="H52" i="23" s="1"/>
  <c r="G45" i="23"/>
  <c r="H45" i="23" s="1"/>
  <c r="G77" i="23"/>
  <c r="H77" i="23" s="1"/>
  <c r="G72" i="23"/>
  <c r="H72" i="23" s="1"/>
  <c r="G76" i="23"/>
  <c r="H76" i="23" s="1"/>
  <c r="G60" i="23"/>
  <c r="G71" i="23"/>
  <c r="H71" i="23" s="1"/>
  <c r="G75" i="23"/>
  <c r="H75" i="23" s="1"/>
  <c r="G74" i="23"/>
  <c r="H74" i="23" s="1"/>
  <c r="G64" i="23"/>
  <c r="H64" i="23" s="1"/>
  <c r="G47" i="23"/>
  <c r="H47" i="23" s="1"/>
  <c r="G34" i="23"/>
  <c r="G78" i="23"/>
  <c r="H78" i="23" s="1"/>
  <c r="G65" i="23"/>
  <c r="H65" i="23" s="1"/>
  <c r="Y49" i="23"/>
  <c r="X50" i="23"/>
  <c r="Y75" i="23"/>
  <c r="X76" i="23"/>
  <c r="Y70" i="23"/>
  <c r="X71" i="23"/>
  <c r="Y44" i="23"/>
  <c r="X45" i="23"/>
  <c r="Y39" i="23"/>
  <c r="X40" i="23"/>
  <c r="X66" i="23"/>
  <c r="Y65" i="23"/>
  <c r="L72" i="12"/>
  <c r="C35" i="12"/>
  <c r="C36" i="12" s="1"/>
  <c r="C64" i="12"/>
  <c r="C46" i="12"/>
  <c r="C47" i="12" s="1"/>
  <c r="C48" i="12" s="1"/>
  <c r="C63" i="12"/>
  <c r="C85" i="12" s="1"/>
  <c r="C15" i="12"/>
  <c r="C16" i="12" s="1"/>
  <c r="C17" i="12" s="1"/>
  <c r="C40" i="12"/>
  <c r="Y16" i="23"/>
  <c r="X22" i="23"/>
  <c r="Y22" i="23" s="1"/>
  <c r="X12" i="23"/>
  <c r="Y12" i="23" s="1"/>
  <c r="Y9" i="23"/>
  <c r="X18" i="23"/>
  <c r="Y17" i="23"/>
  <c r="L9" i="23"/>
  <c r="M9" i="23" s="1"/>
  <c r="L17" i="23"/>
  <c r="M17" i="23" s="1"/>
  <c r="J50" i="12"/>
  <c r="J51" i="12" s="1"/>
  <c r="J32" i="12"/>
  <c r="C33" i="12"/>
  <c r="H34" i="23" l="1"/>
  <c r="AC97" i="12"/>
  <c r="Z100" i="12" s="1"/>
  <c r="AL97" i="12"/>
  <c r="AI100" i="12" s="1"/>
  <c r="S83" i="12"/>
  <c r="H59" i="23"/>
  <c r="I59" i="23" s="1"/>
  <c r="O59" i="23" s="1"/>
  <c r="Q63" i="12"/>
  <c r="Q65" i="12" s="1"/>
  <c r="R83" i="12"/>
  <c r="K78" i="12"/>
  <c r="K73" i="12"/>
  <c r="R78" i="12"/>
  <c r="R73" i="12"/>
  <c r="R74" i="12" s="1"/>
  <c r="R85" i="12" s="1"/>
  <c r="K83" i="12"/>
  <c r="K63" i="12"/>
  <c r="Q78" i="12"/>
  <c r="Q73" i="12"/>
  <c r="S78" i="12"/>
  <c r="S73" i="12"/>
  <c r="S74" i="12" s="1"/>
  <c r="S75" i="12" s="1"/>
  <c r="S76" i="12" s="1"/>
  <c r="S77" i="12" s="1"/>
  <c r="S91" i="12" s="1"/>
  <c r="H33" i="23"/>
  <c r="I33" i="23" s="1"/>
  <c r="O33" i="23" s="1"/>
  <c r="S66" i="12"/>
  <c r="R89" i="12"/>
  <c r="S89" i="12"/>
  <c r="H60" i="23"/>
  <c r="Y40" i="23"/>
  <c r="X41" i="23"/>
  <c r="Y41" i="23" s="1"/>
  <c r="Y45" i="23"/>
  <c r="X46" i="23"/>
  <c r="Y46" i="23" s="1"/>
  <c r="Y76" i="23"/>
  <c r="X77" i="23"/>
  <c r="Y77" i="23" s="1"/>
  <c r="Y50" i="23"/>
  <c r="X51" i="23"/>
  <c r="Y51" i="23" s="1"/>
  <c r="Y66" i="23"/>
  <c r="X67" i="23"/>
  <c r="Y67" i="23" s="1"/>
  <c r="Y71" i="23"/>
  <c r="X72" i="23"/>
  <c r="Y72" i="23" s="1"/>
  <c r="L78" i="12"/>
  <c r="L73" i="12"/>
  <c r="C38" i="12"/>
  <c r="C39" i="12" s="1"/>
  <c r="C41" i="12" s="1"/>
  <c r="C18" i="12"/>
  <c r="X23" i="23"/>
  <c r="X24" i="23" s="1"/>
  <c r="E8" i="23"/>
  <c r="E16" i="23"/>
  <c r="E24" i="23"/>
  <c r="E19" i="23"/>
  <c r="E12" i="23"/>
  <c r="E9" i="23"/>
  <c r="E17" i="23"/>
  <c r="E25" i="23"/>
  <c r="E11" i="23"/>
  <c r="E20" i="23"/>
  <c r="E14" i="23"/>
  <c r="E15" i="23"/>
  <c r="E10" i="23"/>
  <c r="E18" i="23"/>
  <c r="E26" i="23"/>
  <c r="E7" i="23"/>
  <c r="E22" i="23"/>
  <c r="E13" i="23"/>
  <c r="E21" i="23"/>
  <c r="E23" i="23"/>
  <c r="X13" i="23"/>
  <c r="Y13" i="23" s="1"/>
  <c r="X19" i="23"/>
  <c r="Y18" i="23"/>
  <c r="L10" i="23"/>
  <c r="L18" i="23"/>
  <c r="M18" i="23" s="1"/>
  <c r="J52" i="12"/>
  <c r="J54" i="12" s="1"/>
  <c r="J59" i="12" s="1"/>
  <c r="J60" i="12" s="1"/>
  <c r="J61" i="12" s="1"/>
  <c r="Z99" i="12" l="1"/>
  <c r="AD101" i="12" s="1"/>
  <c r="AI99" i="12"/>
  <c r="I60" i="23"/>
  <c r="I61" i="23" s="1"/>
  <c r="I62" i="23" s="1"/>
  <c r="K101" i="12"/>
  <c r="Q47" i="23" s="1"/>
  <c r="Z47" i="23" s="1"/>
  <c r="L101" i="12"/>
  <c r="Q67" i="23" s="1"/>
  <c r="Z67" i="23" s="1"/>
  <c r="Q66" i="12"/>
  <c r="Q89" i="12" s="1"/>
  <c r="Q74" i="12"/>
  <c r="Q75" i="12" s="1"/>
  <c r="Q76" i="12" s="1"/>
  <c r="Q77" i="12" s="1"/>
  <c r="Q91" i="12" s="1"/>
  <c r="R86" i="12"/>
  <c r="K65" i="12"/>
  <c r="K74" i="12" s="1"/>
  <c r="K75" i="12" s="1"/>
  <c r="K76" i="12" s="1"/>
  <c r="K77" i="12" s="1"/>
  <c r="K91" i="12" s="1"/>
  <c r="S85" i="12"/>
  <c r="S86" i="12" s="1"/>
  <c r="J72" i="12"/>
  <c r="J73" i="12" s="1"/>
  <c r="R75" i="12"/>
  <c r="R76" i="12" s="1"/>
  <c r="I34" i="23"/>
  <c r="O34" i="23" s="1"/>
  <c r="S92" i="12"/>
  <c r="K89" i="12"/>
  <c r="L74" i="12"/>
  <c r="C19" i="12"/>
  <c r="C88" i="12" s="1"/>
  <c r="Y23" i="23"/>
  <c r="X14" i="23"/>
  <c r="X15" i="23" s="1"/>
  <c r="Y15" i="23" s="1"/>
  <c r="N9" i="23"/>
  <c r="M10" i="23"/>
  <c r="N10" i="23" s="1"/>
  <c r="L11" i="23"/>
  <c r="N17" i="23"/>
  <c r="N7" i="23"/>
  <c r="N26" i="23"/>
  <c r="N16" i="23"/>
  <c r="N8" i="23"/>
  <c r="N18" i="23"/>
  <c r="X20" i="23"/>
  <c r="Y20" i="23" s="1"/>
  <c r="Y19" i="23"/>
  <c r="X25" i="23"/>
  <c r="Y25" i="23" s="1"/>
  <c r="Y24" i="23"/>
  <c r="L19" i="23"/>
  <c r="M19" i="23" s="1"/>
  <c r="J53" i="12"/>
  <c r="J64" i="12" s="1"/>
  <c r="J15" i="12"/>
  <c r="C90" i="12"/>
  <c r="AD100" i="12" l="1"/>
  <c r="Q62" i="23"/>
  <c r="Z62" i="23" s="1"/>
  <c r="Q66" i="23"/>
  <c r="Z66" i="23" s="1"/>
  <c r="Q69" i="23"/>
  <c r="Z69" i="23" s="1"/>
  <c r="Q73" i="23"/>
  <c r="Z73" i="23" s="1"/>
  <c r="Q65" i="23"/>
  <c r="Z65" i="23" s="1"/>
  <c r="Q59" i="23"/>
  <c r="Z59" i="23" s="1"/>
  <c r="Q61" i="23"/>
  <c r="Z61" i="23" s="1"/>
  <c r="Q64" i="23"/>
  <c r="Z64" i="23" s="1"/>
  <c r="Q70" i="23"/>
  <c r="Z70" i="23" s="1"/>
  <c r="S97" i="12"/>
  <c r="Q71" i="23"/>
  <c r="Z71" i="23" s="1"/>
  <c r="Q68" i="23"/>
  <c r="Z68" i="23" s="1"/>
  <c r="Q74" i="23"/>
  <c r="Z74" i="23" s="1"/>
  <c r="Q63" i="23"/>
  <c r="Z63" i="23" s="1"/>
  <c r="Q60" i="23"/>
  <c r="Z60" i="23" s="1"/>
  <c r="Q78" i="23"/>
  <c r="Z78" i="23" s="1"/>
  <c r="Q72" i="23"/>
  <c r="Z72" i="23" s="1"/>
  <c r="Q77" i="23"/>
  <c r="Z77" i="23" s="1"/>
  <c r="Q46" i="23"/>
  <c r="Z46" i="23" s="1"/>
  <c r="Q76" i="23"/>
  <c r="Z76" i="23" s="1"/>
  <c r="Q75" i="23"/>
  <c r="Z75" i="23" s="1"/>
  <c r="Q45" i="23"/>
  <c r="Z45" i="23" s="1"/>
  <c r="Q52" i="23"/>
  <c r="Z52" i="23" s="1"/>
  <c r="Q51" i="23"/>
  <c r="Z51" i="23" s="1"/>
  <c r="Q35" i="23"/>
  <c r="Z35" i="23" s="1"/>
  <c r="Q48" i="23"/>
  <c r="Z48" i="23" s="1"/>
  <c r="Q33" i="23"/>
  <c r="Z33" i="23" s="1"/>
  <c r="Q39" i="23"/>
  <c r="Z39" i="23" s="1"/>
  <c r="Q43" i="23"/>
  <c r="Z43" i="23" s="1"/>
  <c r="Q49" i="23"/>
  <c r="Z49" i="23" s="1"/>
  <c r="Q34" i="23"/>
  <c r="Z34" i="23" s="1"/>
  <c r="Q41" i="23"/>
  <c r="Z41" i="23" s="1"/>
  <c r="Q42" i="23"/>
  <c r="Z42" i="23" s="1"/>
  <c r="O61" i="23"/>
  <c r="Q38" i="23"/>
  <c r="Z38" i="23" s="1"/>
  <c r="Q36" i="23"/>
  <c r="Z36" i="23" s="1"/>
  <c r="Q50" i="23"/>
  <c r="Z50" i="23" s="1"/>
  <c r="Q44" i="23"/>
  <c r="Z44" i="23" s="1"/>
  <c r="O60" i="23"/>
  <c r="Q40" i="23"/>
  <c r="Z40" i="23" s="1"/>
  <c r="Q37" i="23"/>
  <c r="Z37" i="23" s="1"/>
  <c r="Q92" i="12"/>
  <c r="Q85" i="12"/>
  <c r="Q86" i="12" s="1"/>
  <c r="K85" i="12"/>
  <c r="K86" i="12" s="1"/>
  <c r="K87" i="12" s="1"/>
  <c r="K66" i="12"/>
  <c r="R43" i="23"/>
  <c r="R52" i="23"/>
  <c r="R50" i="23"/>
  <c r="R49" i="23"/>
  <c r="R40" i="23"/>
  <c r="R41" i="23"/>
  <c r="R39" i="23"/>
  <c r="R48" i="23"/>
  <c r="R45" i="23"/>
  <c r="R44" i="23"/>
  <c r="R42" i="23"/>
  <c r="R47" i="23"/>
  <c r="R38" i="23"/>
  <c r="R46" i="23"/>
  <c r="R51" i="23"/>
  <c r="K92" i="12"/>
  <c r="K93" i="12" s="1"/>
  <c r="R77" i="12"/>
  <c r="R91" i="12" s="1"/>
  <c r="R92" i="12" s="1"/>
  <c r="R97" i="12" s="1"/>
  <c r="I35" i="23"/>
  <c r="I36" i="23" s="1"/>
  <c r="I37" i="23" s="1"/>
  <c r="I63" i="23"/>
  <c r="O62" i="23"/>
  <c r="J83" i="12"/>
  <c r="J63" i="12"/>
  <c r="J82" i="12"/>
  <c r="J62" i="12"/>
  <c r="L85" i="12"/>
  <c r="L86" i="12" s="1"/>
  <c r="L87" i="12" s="1"/>
  <c r="L75" i="12"/>
  <c r="L76" i="12" s="1"/>
  <c r="J84" i="12"/>
  <c r="L89" i="12"/>
  <c r="M11" i="23"/>
  <c r="N11" i="23" s="1"/>
  <c r="L12" i="23"/>
  <c r="Y14" i="23"/>
  <c r="C37" i="12"/>
  <c r="C89" i="12" s="1"/>
  <c r="C66" i="12"/>
  <c r="C67" i="12" s="1"/>
  <c r="C68" i="12" s="1"/>
  <c r="C91" i="12" s="1"/>
  <c r="N19" i="23"/>
  <c r="L20" i="23"/>
  <c r="Q97" i="12" l="1"/>
  <c r="Q100" i="12" s="1"/>
  <c r="R37" i="23"/>
  <c r="K95" i="12"/>
  <c r="K97" i="12"/>
  <c r="K96" i="12"/>
  <c r="R35" i="23"/>
  <c r="R36" i="23"/>
  <c r="R33" i="23"/>
  <c r="R34" i="23"/>
  <c r="J65" i="12"/>
  <c r="R59" i="23"/>
  <c r="R63" i="23"/>
  <c r="R74" i="23"/>
  <c r="R69" i="23"/>
  <c r="R75" i="23"/>
  <c r="R78" i="23"/>
  <c r="R66" i="23"/>
  <c r="R71" i="23"/>
  <c r="R65" i="23"/>
  <c r="R70" i="23"/>
  <c r="R77" i="23"/>
  <c r="R68" i="23"/>
  <c r="R67" i="23"/>
  <c r="R72" i="23"/>
  <c r="R73" i="23"/>
  <c r="R60" i="23"/>
  <c r="R64" i="23"/>
  <c r="R76" i="23"/>
  <c r="R62" i="23"/>
  <c r="R61" i="23"/>
  <c r="O36" i="23"/>
  <c r="O35" i="23"/>
  <c r="L77" i="12"/>
  <c r="L91" i="12" s="1"/>
  <c r="L92" i="12" s="1"/>
  <c r="O63" i="23"/>
  <c r="I64" i="23"/>
  <c r="S40" i="23"/>
  <c r="T40" i="23" s="1"/>
  <c r="S52" i="23"/>
  <c r="T52" i="23" s="1"/>
  <c r="S33" i="23"/>
  <c r="S48" i="23"/>
  <c r="T48" i="23" s="1"/>
  <c r="S47" i="23"/>
  <c r="T47" i="23" s="1"/>
  <c r="S39" i="23"/>
  <c r="T39" i="23" s="1"/>
  <c r="S34" i="23"/>
  <c r="S35" i="23"/>
  <c r="S42" i="23"/>
  <c r="T42" i="23" s="1"/>
  <c r="S43" i="23"/>
  <c r="T43" i="23" s="1"/>
  <c r="S38" i="23"/>
  <c r="T38" i="23" s="1"/>
  <c r="S50" i="23"/>
  <c r="T50" i="23" s="1"/>
  <c r="S51" i="23"/>
  <c r="T51" i="23" s="1"/>
  <c r="S36" i="23"/>
  <c r="S37" i="23"/>
  <c r="S46" i="23"/>
  <c r="T46" i="23" s="1"/>
  <c r="S41" i="23"/>
  <c r="T41" i="23" s="1"/>
  <c r="S49" i="23"/>
  <c r="T49" i="23" s="1"/>
  <c r="S44" i="23"/>
  <c r="T44" i="23" s="1"/>
  <c r="S45" i="23"/>
  <c r="T45" i="23" s="1"/>
  <c r="I38" i="23"/>
  <c r="O37" i="23"/>
  <c r="C92" i="12"/>
  <c r="M12" i="23"/>
  <c r="N12" i="23" s="1"/>
  <c r="L13" i="23"/>
  <c r="M20" i="23"/>
  <c r="N20" i="23" s="1"/>
  <c r="L21" i="23"/>
  <c r="C83" i="12"/>
  <c r="C86" i="12" s="1"/>
  <c r="C87" i="12" s="1"/>
  <c r="J78" i="12"/>
  <c r="G25" i="23" l="1"/>
  <c r="H25" i="23" s="1"/>
  <c r="C93" i="12"/>
  <c r="L95" i="12"/>
  <c r="L93" i="12"/>
  <c r="C97" i="12"/>
  <c r="C95" i="12"/>
  <c r="C96" i="12"/>
  <c r="Q99" i="12"/>
  <c r="L97" i="12"/>
  <c r="T37" i="23"/>
  <c r="T35" i="23"/>
  <c r="L96" i="12"/>
  <c r="T36" i="23"/>
  <c r="J101" i="12"/>
  <c r="T33" i="23"/>
  <c r="U33" i="23" s="1"/>
  <c r="AA33" i="23" s="1"/>
  <c r="AC33" i="23" s="1"/>
  <c r="T34" i="23"/>
  <c r="G15" i="23"/>
  <c r="H15" i="23" s="1"/>
  <c r="G21" i="23"/>
  <c r="H21" i="23" s="1"/>
  <c r="G17" i="23"/>
  <c r="H17" i="23" s="1"/>
  <c r="G22" i="23"/>
  <c r="H22" i="23" s="1"/>
  <c r="G14" i="23"/>
  <c r="H14" i="23" s="1"/>
  <c r="G16" i="23"/>
  <c r="H16" i="23" s="1"/>
  <c r="G18" i="23"/>
  <c r="H18" i="23" s="1"/>
  <c r="G9" i="23"/>
  <c r="G13" i="23"/>
  <c r="H13" i="23" s="1"/>
  <c r="G10" i="23"/>
  <c r="H10" i="23" s="1"/>
  <c r="G12" i="23"/>
  <c r="H12" i="23" s="1"/>
  <c r="G8" i="23"/>
  <c r="G19" i="23"/>
  <c r="H19" i="23" s="1"/>
  <c r="G7" i="23"/>
  <c r="G20" i="23"/>
  <c r="H20" i="23" s="1"/>
  <c r="G26" i="23"/>
  <c r="H26" i="23" s="1"/>
  <c r="G24" i="23"/>
  <c r="H24" i="23" s="1"/>
  <c r="G23" i="23"/>
  <c r="H23" i="23" s="1"/>
  <c r="G11" i="23"/>
  <c r="H11" i="23" s="1"/>
  <c r="I39" i="23"/>
  <c r="O38" i="23"/>
  <c r="F8" i="23"/>
  <c r="F7" i="23"/>
  <c r="F9" i="23"/>
  <c r="S78" i="23"/>
  <c r="T78" i="23" s="1"/>
  <c r="S59" i="23"/>
  <c r="T59" i="23" s="1"/>
  <c r="U59" i="23" s="1"/>
  <c r="S64" i="23"/>
  <c r="T64" i="23" s="1"/>
  <c r="S73" i="23"/>
  <c r="T73" i="23" s="1"/>
  <c r="S72" i="23"/>
  <c r="T72" i="23" s="1"/>
  <c r="S60" i="23"/>
  <c r="T60" i="23" s="1"/>
  <c r="S61" i="23"/>
  <c r="T61" i="23" s="1"/>
  <c r="S66" i="23"/>
  <c r="T66" i="23" s="1"/>
  <c r="S67" i="23"/>
  <c r="T67" i="23" s="1"/>
  <c r="S68" i="23"/>
  <c r="T68" i="23" s="1"/>
  <c r="S69" i="23"/>
  <c r="T69" i="23" s="1"/>
  <c r="S65" i="23"/>
  <c r="T65" i="23" s="1"/>
  <c r="S75" i="23"/>
  <c r="T75" i="23" s="1"/>
  <c r="S76" i="23"/>
  <c r="T76" i="23" s="1"/>
  <c r="S77" i="23"/>
  <c r="T77" i="23" s="1"/>
  <c r="S62" i="23"/>
  <c r="T62" i="23" s="1"/>
  <c r="S63" i="23"/>
  <c r="T63" i="23" s="1"/>
  <c r="S74" i="23"/>
  <c r="T74" i="23" s="1"/>
  <c r="S70" i="23"/>
  <c r="T70" i="23" s="1"/>
  <c r="S71" i="23"/>
  <c r="T71" i="23" s="1"/>
  <c r="I65" i="23"/>
  <c r="O64" i="23"/>
  <c r="J66" i="12"/>
  <c r="J74" i="12"/>
  <c r="M21" i="23"/>
  <c r="N21" i="23" s="1"/>
  <c r="L22" i="23"/>
  <c r="M13" i="23"/>
  <c r="N13" i="23" s="1"/>
  <c r="L14" i="23"/>
  <c r="U34" i="23" l="1"/>
  <c r="U35" i="23" s="1"/>
  <c r="H8" i="23"/>
  <c r="H9" i="23"/>
  <c r="I40" i="23"/>
  <c r="O39" i="23"/>
  <c r="AA59" i="23"/>
  <c r="AC59" i="23" s="1"/>
  <c r="O65" i="23"/>
  <c r="I66" i="23"/>
  <c r="U60" i="23"/>
  <c r="AA60" i="23" s="1"/>
  <c r="AC60" i="23" s="1"/>
  <c r="M14" i="23"/>
  <c r="N14" i="23" s="1"/>
  <c r="L15" i="23"/>
  <c r="M15" i="23" s="1"/>
  <c r="N15" i="23" s="1"/>
  <c r="M22" i="23"/>
  <c r="N22" i="23" s="1"/>
  <c r="L23" i="23"/>
  <c r="H7" i="23"/>
  <c r="I7" i="23" s="1"/>
  <c r="Q15" i="23"/>
  <c r="Z15" i="23" s="1"/>
  <c r="Q23" i="23"/>
  <c r="Z23" i="23" s="1"/>
  <c r="Q18" i="23"/>
  <c r="Z18" i="23" s="1"/>
  <c r="Q8" i="23"/>
  <c r="Z8" i="23" s="1"/>
  <c r="Q16" i="23"/>
  <c r="Z16" i="23" s="1"/>
  <c r="Q24" i="23"/>
  <c r="Z24" i="23" s="1"/>
  <c r="Q26" i="23"/>
  <c r="Z26" i="23" s="1"/>
  <c r="Q19" i="23"/>
  <c r="Z19" i="23" s="1"/>
  <c r="Q20" i="23"/>
  <c r="Z20" i="23" s="1"/>
  <c r="Q13" i="23"/>
  <c r="Z13" i="23" s="1"/>
  <c r="Q9" i="23"/>
  <c r="Z9" i="23" s="1"/>
  <c r="Q17" i="23"/>
  <c r="Z17" i="23" s="1"/>
  <c r="Q25" i="23"/>
  <c r="Z25" i="23" s="1"/>
  <c r="Q10" i="23"/>
  <c r="Z10" i="23" s="1"/>
  <c r="Q7" i="23"/>
  <c r="Z7" i="23" s="1"/>
  <c r="Q12" i="23"/>
  <c r="Z12" i="23" s="1"/>
  <c r="Q14" i="23"/>
  <c r="Z14" i="23" s="1"/>
  <c r="Q22" i="23"/>
  <c r="Z22" i="23" s="1"/>
  <c r="Q11" i="23"/>
  <c r="Z11" i="23" s="1"/>
  <c r="Q21" i="23"/>
  <c r="Z21" i="23" s="1"/>
  <c r="AA34" i="23" l="1"/>
  <c r="AC34" i="23" s="1"/>
  <c r="I8" i="23"/>
  <c r="I9" i="23" s="1"/>
  <c r="I10" i="23" s="1"/>
  <c r="AA35" i="23"/>
  <c r="AC35" i="23" s="1"/>
  <c r="U36" i="23"/>
  <c r="I67" i="23"/>
  <c r="O66" i="23"/>
  <c r="I41" i="23"/>
  <c r="O40" i="23"/>
  <c r="U61" i="23"/>
  <c r="J89" i="12"/>
  <c r="J85" i="12"/>
  <c r="J86" i="12" s="1"/>
  <c r="J87" i="12" s="1"/>
  <c r="J75" i="12"/>
  <c r="J76" i="12" s="1"/>
  <c r="J77" i="12" s="1"/>
  <c r="M23" i="23"/>
  <c r="N23" i="23" s="1"/>
  <c r="L24" i="23"/>
  <c r="O7" i="23"/>
  <c r="R22" i="23" l="1"/>
  <c r="R23" i="23"/>
  <c r="R24" i="23"/>
  <c r="R19" i="23"/>
  <c r="R20" i="23"/>
  <c r="R25" i="23"/>
  <c r="R26" i="23"/>
  <c r="R21" i="23"/>
  <c r="J91" i="12"/>
  <c r="J92" i="12" s="1"/>
  <c r="R9" i="23"/>
  <c r="R15" i="23"/>
  <c r="R17" i="23"/>
  <c r="R11" i="23"/>
  <c r="R7" i="23"/>
  <c r="R8" i="23"/>
  <c r="R10" i="23"/>
  <c r="R16" i="23"/>
  <c r="R18" i="23"/>
  <c r="R12" i="23"/>
  <c r="R14" i="23"/>
  <c r="R13" i="23"/>
  <c r="AA61" i="23"/>
  <c r="AC61" i="23" s="1"/>
  <c r="U62" i="23"/>
  <c r="I68" i="23"/>
  <c r="O67" i="23"/>
  <c r="U37" i="23"/>
  <c r="AA36" i="23"/>
  <c r="AC36" i="23" s="1"/>
  <c r="I42" i="23"/>
  <c r="O41" i="23"/>
  <c r="M24" i="23"/>
  <c r="N24" i="23" s="1"/>
  <c r="L25" i="23"/>
  <c r="M25" i="23" s="1"/>
  <c r="N25" i="23" s="1"/>
  <c r="O9" i="23"/>
  <c r="O8" i="23"/>
  <c r="I11" i="23"/>
  <c r="O10" i="23"/>
  <c r="J95" i="12" l="1"/>
  <c r="J93" i="12"/>
  <c r="J96" i="12"/>
  <c r="J97" i="12"/>
  <c r="I43" i="23"/>
  <c r="O42" i="23"/>
  <c r="AA62" i="23"/>
  <c r="AC62" i="23" s="1"/>
  <c r="U63" i="23"/>
  <c r="U38" i="23"/>
  <c r="AA37" i="23"/>
  <c r="AC37" i="23" s="1"/>
  <c r="O68" i="23"/>
  <c r="I69" i="23"/>
  <c r="S10" i="23"/>
  <c r="T10" i="23" s="1"/>
  <c r="S11" i="23"/>
  <c r="T11" i="23" s="1"/>
  <c r="S26" i="23"/>
  <c r="T26" i="23" s="1"/>
  <c r="S9" i="23"/>
  <c r="T9" i="23" s="1"/>
  <c r="S19" i="23"/>
  <c r="T19" i="23" s="1"/>
  <c r="S16" i="23"/>
  <c r="T16" i="23" s="1"/>
  <c r="S23" i="23"/>
  <c r="T23" i="23" s="1"/>
  <c r="S24" i="23"/>
  <c r="T24" i="23" s="1"/>
  <c r="S25" i="23"/>
  <c r="T25" i="23" s="1"/>
  <c r="S13" i="23"/>
  <c r="T13" i="23" s="1"/>
  <c r="S21" i="23"/>
  <c r="T21" i="23" s="1"/>
  <c r="S20" i="23"/>
  <c r="T20" i="23" s="1"/>
  <c r="S8" i="23"/>
  <c r="T8" i="23" s="1"/>
  <c r="S18" i="23"/>
  <c r="T18" i="23" s="1"/>
  <c r="S22" i="23"/>
  <c r="T22" i="23" s="1"/>
  <c r="S15" i="23"/>
  <c r="T15" i="23" s="1"/>
  <c r="S7" i="23"/>
  <c r="S12" i="23"/>
  <c r="T12" i="23" s="1"/>
  <c r="S17" i="23"/>
  <c r="T17" i="23" s="1"/>
  <c r="S14" i="23"/>
  <c r="T14" i="23" s="1"/>
  <c r="I12" i="23"/>
  <c r="O11" i="23"/>
  <c r="U39" i="23" l="1"/>
  <c r="AA38" i="23"/>
  <c r="AC38" i="23" s="1"/>
  <c r="O69" i="23"/>
  <c r="I70" i="23"/>
  <c r="AA63" i="23"/>
  <c r="AC63" i="23" s="1"/>
  <c r="U64" i="23"/>
  <c r="I44" i="23"/>
  <c r="O43" i="23"/>
  <c r="T7" i="23"/>
  <c r="U7" i="23" s="1"/>
  <c r="I13" i="23"/>
  <c r="O12" i="23"/>
  <c r="O70" i="23" l="1"/>
  <c r="I71" i="23"/>
  <c r="I45" i="23"/>
  <c r="O44" i="23"/>
  <c r="AA64" i="23"/>
  <c r="AC64" i="23" s="1"/>
  <c r="U65" i="23"/>
  <c r="U40" i="23"/>
  <c r="AA39" i="23"/>
  <c r="AC39" i="23" s="1"/>
  <c r="AA7" i="23"/>
  <c r="AC7" i="23" s="1"/>
  <c r="U8" i="23"/>
  <c r="AA8" i="23" s="1"/>
  <c r="AC8" i="23" s="1"/>
  <c r="I14" i="23"/>
  <c r="O13" i="23"/>
  <c r="U9" i="23" l="1"/>
  <c r="AA9" i="23" s="1"/>
  <c r="AC9" i="23" s="1"/>
  <c r="U41" i="23"/>
  <c r="AA40" i="23"/>
  <c r="AC40" i="23" s="1"/>
  <c r="AA65" i="23"/>
  <c r="AC65" i="23" s="1"/>
  <c r="U66" i="23"/>
  <c r="I46" i="23"/>
  <c r="O45" i="23"/>
  <c r="O71" i="23"/>
  <c r="I72" i="23"/>
  <c r="I15" i="23"/>
  <c r="O14" i="23"/>
  <c r="U10" i="23" l="1"/>
  <c r="AA10" i="23" s="1"/>
  <c r="AC10" i="23" s="1"/>
  <c r="I47" i="23"/>
  <c r="O46" i="23"/>
  <c r="AA66" i="23"/>
  <c r="AC66" i="23" s="1"/>
  <c r="U67" i="23"/>
  <c r="O72" i="23"/>
  <c r="I73" i="23"/>
  <c r="U42" i="23"/>
  <c r="AA41" i="23"/>
  <c r="AC41" i="23" s="1"/>
  <c r="I16" i="23"/>
  <c r="O15" i="23"/>
  <c r="U11" i="23" l="1"/>
  <c r="O73" i="23"/>
  <c r="I74" i="23"/>
  <c r="AA67" i="23"/>
  <c r="AC67" i="23" s="1"/>
  <c r="U68" i="23"/>
  <c r="AA42" i="23"/>
  <c r="AC42" i="23" s="1"/>
  <c r="U43" i="23"/>
  <c r="O47" i="23"/>
  <c r="I48" i="23"/>
  <c r="O16" i="23"/>
  <c r="I17" i="23"/>
  <c r="U12" i="23" l="1"/>
  <c r="AA12" i="23" s="1"/>
  <c r="AC12" i="23" s="1"/>
  <c r="AA11" i="23"/>
  <c r="AC11" i="23" s="1"/>
  <c r="AA43" i="23"/>
  <c r="AC43" i="23" s="1"/>
  <c r="U44" i="23"/>
  <c r="AA68" i="23"/>
  <c r="AC68" i="23" s="1"/>
  <c r="U69" i="23"/>
  <c r="O48" i="23"/>
  <c r="I49" i="23"/>
  <c r="O74" i="23"/>
  <c r="I75" i="23"/>
  <c r="I18" i="23"/>
  <c r="O17" i="23"/>
  <c r="U13" i="23" l="1"/>
  <c r="AA13" i="23" s="1"/>
  <c r="AC13" i="23" s="1"/>
  <c r="O49" i="23"/>
  <c r="I50" i="23"/>
  <c r="AA69" i="23"/>
  <c r="AC69" i="23" s="1"/>
  <c r="U70" i="23"/>
  <c r="AA44" i="23"/>
  <c r="AC44" i="23" s="1"/>
  <c r="U45" i="23"/>
  <c r="O75" i="23"/>
  <c r="I76" i="23"/>
  <c r="I19" i="23"/>
  <c r="O18" i="23"/>
  <c r="U14" i="23" l="1"/>
  <c r="AA14" i="23" s="1"/>
  <c r="AC14" i="23" s="1"/>
  <c r="AA45" i="23"/>
  <c r="AC45" i="23" s="1"/>
  <c r="U46" i="23"/>
  <c r="AA70" i="23"/>
  <c r="AC70" i="23" s="1"/>
  <c r="U71" i="23"/>
  <c r="O50" i="23"/>
  <c r="I51" i="23"/>
  <c r="O76" i="23"/>
  <c r="I77" i="23"/>
  <c r="I20" i="23"/>
  <c r="O19" i="23"/>
  <c r="U15" i="23" l="1"/>
  <c r="AA15" i="23" s="1"/>
  <c r="AC15" i="23" s="1"/>
  <c r="O77" i="23"/>
  <c r="I78" i="23"/>
  <c r="AA71" i="23"/>
  <c r="AC71" i="23" s="1"/>
  <c r="U72" i="23"/>
  <c r="O51" i="23"/>
  <c r="I52" i="23"/>
  <c r="AA46" i="23"/>
  <c r="AC46" i="23" s="1"/>
  <c r="U47" i="23"/>
  <c r="I21" i="23"/>
  <c r="O20" i="23"/>
  <c r="AB98" i="12" l="1"/>
  <c r="AC98" i="12"/>
  <c r="AD98" i="12"/>
  <c r="Z98" i="12"/>
  <c r="Z101" i="12" s="1"/>
  <c r="AA98" i="12"/>
  <c r="AL98" i="12"/>
  <c r="AM98" i="12"/>
  <c r="AI98" i="12"/>
  <c r="AI101" i="12" s="1"/>
  <c r="AJ98" i="12"/>
  <c r="AK98" i="12"/>
  <c r="U16" i="23"/>
  <c r="AJ103" i="12"/>
  <c r="AK103" i="12"/>
  <c r="AL103" i="12"/>
  <c r="AM103" i="12"/>
  <c r="AI103" i="12"/>
  <c r="AA47" i="23"/>
  <c r="AC47" i="23" s="1"/>
  <c r="U48" i="23"/>
  <c r="O52" i="23"/>
  <c r="AA72" i="23"/>
  <c r="AC72" i="23" s="1"/>
  <c r="U73" i="23"/>
  <c r="O78" i="23"/>
  <c r="O21" i="23"/>
  <c r="I22" i="23"/>
  <c r="AC103" i="12" l="1"/>
  <c r="AD103" i="12"/>
  <c r="AA103" i="12"/>
  <c r="Z103" i="12"/>
  <c r="AB103" i="12"/>
  <c r="AA16" i="23"/>
  <c r="AC16" i="23" s="1"/>
  <c r="U17" i="23"/>
  <c r="U18" i="23" s="1"/>
  <c r="AA18" i="23" s="1"/>
  <c r="AC18" i="23" s="1"/>
  <c r="AA48" i="23"/>
  <c r="AC48" i="23" s="1"/>
  <c r="U49" i="23"/>
  <c r="AA73" i="23"/>
  <c r="AC73" i="23" s="1"/>
  <c r="U74" i="23"/>
  <c r="O22" i="23"/>
  <c r="I23" i="23"/>
  <c r="U19" i="23" l="1"/>
  <c r="AA19" i="23" s="1"/>
  <c r="AC19" i="23" s="1"/>
  <c r="AA17" i="23"/>
  <c r="AC17" i="23" s="1"/>
  <c r="AA74" i="23"/>
  <c r="AC74" i="23" s="1"/>
  <c r="U75" i="23"/>
  <c r="AA49" i="23"/>
  <c r="AC49" i="23" s="1"/>
  <c r="U50" i="23"/>
  <c r="I24" i="23"/>
  <c r="O23" i="23"/>
  <c r="U20" i="23" l="1"/>
  <c r="AA20" i="23" s="1"/>
  <c r="AC20" i="23" s="1"/>
  <c r="AA50" i="23"/>
  <c r="AC50" i="23" s="1"/>
  <c r="U51" i="23"/>
  <c r="AA75" i="23"/>
  <c r="AC75" i="23" s="1"/>
  <c r="U76" i="23"/>
  <c r="I25" i="23"/>
  <c r="O24" i="23"/>
  <c r="U21" i="23" l="1"/>
  <c r="U22" i="23" s="1"/>
  <c r="U23" i="23" s="1"/>
  <c r="AA76" i="23"/>
  <c r="AC76" i="23" s="1"/>
  <c r="U77" i="23"/>
  <c r="AA51" i="23"/>
  <c r="AC51" i="23" s="1"/>
  <c r="U52" i="23"/>
  <c r="I26" i="23"/>
  <c r="O25" i="23"/>
  <c r="Q98" i="12" l="1"/>
  <c r="Q103" i="12" s="1"/>
  <c r="R98" i="12"/>
  <c r="R103" i="12" s="1"/>
  <c r="S98" i="12"/>
  <c r="S103" i="12" s="1"/>
  <c r="T98" i="12"/>
  <c r="T103" i="12" s="1"/>
  <c r="U98" i="12"/>
  <c r="U103" i="12" s="1"/>
  <c r="K98" i="12"/>
  <c r="AA22" i="23"/>
  <c r="AC22" i="23" s="1"/>
  <c r="AA21" i="23"/>
  <c r="AC21" i="23" s="1"/>
  <c r="AA52" i="23"/>
  <c r="AC52" i="23" s="1"/>
  <c r="AA77" i="23"/>
  <c r="AC77" i="23" s="1"/>
  <c r="U78" i="23"/>
  <c r="O26" i="23"/>
  <c r="U24" i="23"/>
  <c r="AA23" i="23"/>
  <c r="AC23" i="23" s="1"/>
  <c r="Q101" i="12" l="1"/>
  <c r="L98" i="12"/>
  <c r="AA78" i="23"/>
  <c r="AC78" i="23" s="1"/>
  <c r="U25" i="23"/>
  <c r="AA24" i="23"/>
  <c r="AC24" i="23" s="1"/>
  <c r="AA25" i="23" l="1"/>
  <c r="AC25" i="23" s="1"/>
  <c r="U26" i="23"/>
  <c r="J98" i="12" s="1"/>
  <c r="AA26" i="23" l="1"/>
  <c r="AC26" i="23" s="1"/>
</calcChain>
</file>

<file path=xl/sharedStrings.xml><?xml version="1.0" encoding="utf-8"?>
<sst xmlns="http://schemas.openxmlformats.org/spreadsheetml/2006/main" count="1692" uniqueCount="885">
  <si>
    <t>Assumptions</t>
  </si>
  <si>
    <t>Parameter</t>
  </si>
  <si>
    <t>Units</t>
  </si>
  <si>
    <t>Comment</t>
  </si>
  <si>
    <t>GPU Selection</t>
  </si>
  <si>
    <t>W</t>
  </si>
  <si>
    <t>$</t>
  </si>
  <si>
    <t>$/kWh</t>
  </si>
  <si>
    <t>kg</t>
  </si>
  <si>
    <t>years</t>
  </si>
  <si>
    <t>$/year</t>
  </si>
  <si>
    <t>Operating Temperature</t>
  </si>
  <si>
    <t>K</t>
  </si>
  <si>
    <t>$/m^2</t>
  </si>
  <si>
    <t>$/W</t>
  </si>
  <si>
    <t>kg/W</t>
  </si>
  <si>
    <t>Emissivity (epsilon)</t>
  </si>
  <si>
    <t>Stefan-Boltzmann constant (sigma)</t>
  </si>
  <si>
    <t>W/(m^2*K^4)</t>
  </si>
  <si>
    <t>Space Temperature</t>
  </si>
  <si>
    <t>W/m^2</t>
  </si>
  <si>
    <t>Discount Rate</t>
  </si>
  <si>
    <t>GPUs</t>
  </si>
  <si>
    <t>GPU Mass</t>
  </si>
  <si>
    <t>Power CapEx</t>
  </si>
  <si>
    <t>kg/m^2</t>
  </si>
  <si>
    <t>Cooling CapEx</t>
  </si>
  <si>
    <t>Cooling OpEx</t>
  </si>
  <si>
    <t>Total CapEx</t>
  </si>
  <si>
    <t>Deployment CapEx</t>
  </si>
  <si>
    <t>Power OpEx</t>
  </si>
  <si>
    <t>Deployment OpEx</t>
  </si>
  <si>
    <t>Outputs</t>
  </si>
  <si>
    <t>launches</t>
  </si>
  <si>
    <t>launches/year</t>
  </si>
  <si>
    <t>GPU Name</t>
  </si>
  <si>
    <t>Number of launches</t>
  </si>
  <si>
    <t>Launch cost</t>
  </si>
  <si>
    <t>GPU TDP</t>
  </si>
  <si>
    <t>GPU Average Power</t>
  </si>
  <si>
    <t>kg/launch</t>
  </si>
  <si>
    <t>MW</t>
  </si>
  <si>
    <t>$B</t>
  </si>
  <si>
    <t>GPU Unit Cost</t>
  </si>
  <si>
    <t>Number of GPUs</t>
  </si>
  <si>
    <t>W/GPU</t>
  </si>
  <si>
    <t>Compute Subsystem</t>
  </si>
  <si>
    <t>$/GPU</t>
  </si>
  <si>
    <t>Compute CapEx</t>
  </si>
  <si>
    <t>Cooling Subsystem</t>
  </si>
  <si>
    <t>$M/year</t>
  </si>
  <si>
    <t>Annual Energy Cost</t>
  </si>
  <si>
    <t>Total Annual OpEx</t>
  </si>
  <si>
    <t>Section Header</t>
  </si>
  <si>
    <t>Input Parameters</t>
  </si>
  <si>
    <t>Key Output Parameters</t>
  </si>
  <si>
    <t>Cell Color Codes:</t>
  </si>
  <si>
    <t>Compute OpEx</t>
  </si>
  <si>
    <t>Total OpEx</t>
  </si>
  <si>
    <t>Time to Operations</t>
  </si>
  <si>
    <t>Mass / Area</t>
  </si>
  <si>
    <t>Cost / Area</t>
  </si>
  <si>
    <t>Compute Failure Rate</t>
  </si>
  <si>
    <t>Price</t>
  </si>
  <si>
    <t>Speed</t>
  </si>
  <si>
    <t>GPU Average Power Percentage</t>
  </si>
  <si>
    <t>Inputs / Model</t>
  </si>
  <si>
    <t>Assumes 100% mass and volume utilization</t>
  </si>
  <si>
    <t>Year</t>
  </si>
  <si>
    <t>CapEx</t>
  </si>
  <si>
    <t>OpEx</t>
  </si>
  <si>
    <t>NPV</t>
  </si>
  <si>
    <t>Terrestrial Data Center</t>
  </si>
  <si>
    <t>Orbital Data Center</t>
  </si>
  <si>
    <t>DCF</t>
  </si>
  <si>
    <t>Specific Cost</t>
  </si>
  <si>
    <t>Specific Mass</t>
  </si>
  <si>
    <t>Total System Mass</t>
  </si>
  <si>
    <t>Power Subsystem</t>
  </si>
  <si>
    <t>Key Constraint</t>
  </si>
  <si>
    <t>Power Usage Effectiveness (PUE)</t>
  </si>
  <si>
    <t>Total Factility Power / IT (Compute) Power</t>
  </si>
  <si>
    <t>PUE</t>
  </si>
  <si>
    <t>Assumes LEO</t>
  </si>
  <si>
    <t>Yearly Water Usage</t>
  </si>
  <si>
    <t>gal/year</t>
  </si>
  <si>
    <t>$/gal</t>
  </si>
  <si>
    <t>Yearly Water Cost</t>
  </si>
  <si>
    <t>Equinix 2024 Sustainability Data Summary</t>
  </si>
  <si>
    <t>Google 2025 Environmental Report</t>
  </si>
  <si>
    <t>JLL 2026 Global Data Center Outlook</t>
  </si>
  <si>
    <t>Thunder Said Energy</t>
  </si>
  <si>
    <t>Effective Rated Design Power</t>
  </si>
  <si>
    <t>Annual Spares/Replacement</t>
  </si>
  <si>
    <t>Non-GPU Hardware CapEx</t>
  </si>
  <si>
    <t>Alpha-Matica</t>
  </si>
  <si>
    <t>GPU TDP (W)</t>
  </si>
  <si>
    <t>GPU Average Power %</t>
  </si>
  <si>
    <t>%/year</t>
  </si>
  <si>
    <t>Annual Replacement Cost</t>
  </si>
  <si>
    <t>GPUs/year</t>
  </si>
  <si>
    <t>GPU CapEx</t>
  </si>
  <si>
    <t>Compute Subsystem CapEx</t>
  </si>
  <si>
    <t>Non-GPU Hardware CapEx Scale</t>
  </si>
  <si>
    <t>Power Subsystem OpEx</t>
  </si>
  <si>
    <t>Power Subsystem CapEx</t>
  </si>
  <si>
    <t>Effective Rated Design Power (W/GPU)</t>
  </si>
  <si>
    <t>Wh</t>
  </si>
  <si>
    <t>Cooling Subsystem OpEx</t>
  </si>
  <si>
    <t>Cooling Subsystem CapEx</t>
  </si>
  <si>
    <t>Deployment Environment CapEx</t>
  </si>
  <si>
    <t>Deployment Environment OpEx</t>
  </si>
  <si>
    <t>Assumes satellites are ready to go</t>
  </si>
  <si>
    <t>Starlight Air</t>
  </si>
  <si>
    <t>Average Facility Power</t>
  </si>
  <si>
    <t>Annual Facility Energy Consumption</t>
  </si>
  <si>
    <t>Launch Vehicle Payload to Orbit</t>
  </si>
  <si>
    <t>Annual Launch Rate</t>
  </si>
  <si>
    <t>Heat Rejection / Area</t>
  </si>
  <si>
    <t>Next Gen</t>
  </si>
  <si>
    <t>Satellite Lifetime</t>
  </si>
  <si>
    <t>GPU Performance Improvement Per Refresh</t>
  </si>
  <si>
    <t>Facility Lifetime</t>
  </si>
  <si>
    <t>Assuming price remains constant</t>
  </si>
  <si>
    <t>Total CapEx (satellites + launch)</t>
  </si>
  <si>
    <t>Base GPU Performance</t>
  </si>
  <si>
    <t>TFLOPS/GPU</t>
  </si>
  <si>
    <t>Do GPU Refresh?</t>
  </si>
  <si>
    <t>Latest GPU Generation</t>
  </si>
  <si>
    <t>Installed GPU Generation</t>
  </si>
  <si>
    <t>TFLOP/GPU installed</t>
  </si>
  <si>
    <t>EFLOPS of Data Center (FLOPS*10^18)</t>
  </si>
  <si>
    <t>ODC efficiency difference TDC [GFLOPS/$]</t>
  </si>
  <si>
    <t>Net Present Value</t>
  </si>
  <si>
    <t>Same as TDC</t>
  </si>
  <si>
    <t>GFLOPS/NPV</t>
  </si>
  <si>
    <t>Comparison</t>
  </si>
  <si>
    <t>% Compute Online</t>
  </si>
  <si>
    <t>Author:</t>
  </si>
  <si>
    <t>System Boundary</t>
  </si>
  <si>
    <t>Includes</t>
  </si>
  <si>
    <t>Excludes</t>
  </si>
  <si>
    <t>Subsection Header</t>
  </si>
  <si>
    <t>Derived or Unchangeable Parameters</t>
  </si>
  <si>
    <t>Acronyms</t>
  </si>
  <si>
    <t>ODC</t>
  </si>
  <si>
    <t>TDC</t>
  </si>
  <si>
    <t>GPU</t>
  </si>
  <si>
    <t>Graphical Processing Unit</t>
  </si>
  <si>
    <t>Total Cost of Ownership</t>
  </si>
  <si>
    <t>Discounted Cash Flow</t>
  </si>
  <si>
    <t>Terrestrial vs. Orbital Data Centers: A Technical and Financial Analysis</t>
  </si>
  <si>
    <t>Models, analyses, and main interaction points</t>
  </si>
  <si>
    <t>TDCs and ODCs will have identical GPU performance attributes.</t>
  </si>
  <si>
    <t>The ODC is set in Sun-Synchronous Orbit - maintaining 100% sunlight availability.</t>
  </si>
  <si>
    <t>Both TDCs and ODCs are set to maintain the originally specified compute capability and must replace hardware failures. TDCs only replace GPUs, while ODCs must replace entire satellites.</t>
  </si>
  <si>
    <t>Data center subsystems/components + costs and technologies to deploy the data center and operate/maintain it.</t>
  </si>
  <si>
    <t>NRE, supply chain constraints (LOx, methane, solar panels, GPUs, grid power, etc.), launch vehicle design, ground stations.</t>
  </si>
  <si>
    <t>Launch cost is simply "price per kg to LEO", assuming maximum capacity filled by launch vehicle. Realistic orbital altitudes and inclinations impacting launch density are not considered.</t>
  </si>
  <si>
    <t>Michael Pierce</t>
  </si>
  <si>
    <t>Cyfuture Cloud Production Fleet</t>
  </si>
  <si>
    <t>Aggregate commercial H100 fleet under sustained workloads</t>
  </si>
  <si>
    <t>Meta Llama 3 405B (upper-bound inference)</t>
  </si>
  <si>
    <t>16 384 H100s over 54 days; only 3 manual interventions out of 419 interruptions</t>
  </si>
  <si>
    <t>Bernstein analysis</t>
  </si>
  <si>
    <t>Semianalysis</t>
  </si>
  <si>
    <t>Uptime Institute 2024 Data Center Spending Survey</t>
  </si>
  <si>
    <t>Uptime Institute Global Data Center Survey 2024</t>
  </si>
  <si>
    <t>Electricity</t>
  </si>
  <si>
    <t>Category</t>
  </si>
  <si>
    <t>Infrastructure Maintenance</t>
  </si>
  <si>
    <t>Staffing &amp; Human Resources</t>
  </si>
  <si>
    <t>Network &amp; Bandwidth</t>
  </si>
  <si>
    <t>Software, Security &amp; Compliance</t>
  </si>
  <si>
    <t>Maintenance</t>
  </si>
  <si>
    <t>Everything else (labor/water/G&amp;A/other)</t>
  </si>
  <si>
    <t>Generic data center numbers</t>
  </si>
  <si>
    <t>Power</t>
  </si>
  <si>
    <t>Labor</t>
  </si>
  <si>
    <t>Space (capital repayments, rent, property taxes)</t>
  </si>
  <si>
    <t>Bandwidth</t>
  </si>
  <si>
    <t>Other</t>
  </si>
  <si>
    <t>What can we do here?</t>
  </si>
  <si>
    <t>Everything else</t>
  </si>
  <si>
    <t>Could be maintenance</t>
  </si>
  <si>
    <t>%/GPU_$</t>
  </si>
  <si>
    <t>Compute Subsystem OpEx</t>
  </si>
  <si>
    <t>Failure rate, network, and licensing costs</t>
  </si>
  <si>
    <t>Water cost</t>
  </si>
  <si>
    <t>Power cost</t>
  </si>
  <si>
    <t>Maintenance of everything, human costs</t>
  </si>
  <si>
    <t>"Power, not location or cost, will be the primary site selection criteria due to multiyear wait times for a grid connection."</t>
  </si>
  <si>
    <t>"Nearly 100 GW of new data centers will be added between 2025 and 2030, doubling global capacity"</t>
  </si>
  <si>
    <t>"AI could represent half of data center workloads by 2030"</t>
  </si>
  <si>
    <t>"A significant shift is anticipated in 2027, when inference workloads could overtake training as the dominate AI requirement"</t>
  </si>
  <si>
    <t>"Data centers turn to on-site power and battery storage"</t>
  </si>
  <si>
    <t>"Between 2020 and 20205, the average global data center construction cost increased from $7.7 to $10.7 million per MW, equating to 7% CAGR. For 2026, JLL is forecasting the average global cost will crease 6% to $11.3 million per MW."</t>
  </si>
  <si>
    <t>"These figures only include the cost to construct the shell and core. Tenants are typically responsible for the tech fit-out which can cost as much as $25 million per MW for AI infrastructure"</t>
  </si>
  <si>
    <t>"3 trillion investment required for 100 GW of new supply by 2030"</t>
  </si>
  <si>
    <t>Turner &amp; Townsend 2025-2026 Data centre construction cost index</t>
  </si>
  <si>
    <t>"Stabilization for traditional data centres, while AI costs are still to be fully determined."</t>
  </si>
  <si>
    <t>"Data centre construction costs are set to climb modestly through 2026."</t>
  </si>
  <si>
    <t>"Our data centre construction cost index for 2025 shows a 5.5% increase in the cost per watt of building a traditional cloud-based, air-cooled data center. This is markedly lower than the 9.0% YoY increase in 2024."</t>
  </si>
  <si>
    <t>AI constuction premium: They estimate that "average construction costs are 7 to 10% higher than equivalent air-cooled data centres."</t>
  </si>
  <si>
    <t>Atlanta $9.90/W</t>
  </si>
  <si>
    <t>Chicago $11.23/W</t>
  </si>
  <si>
    <t>"Data was captured from more than 300 live or recent projects in more than 20 countries."</t>
  </si>
  <si>
    <t>"Construction cost data is captured under the following key capital cost headings:</t>
  </si>
  <si>
    <t>shell and core</t>
  </si>
  <si>
    <t>architectural fit-out and finishes</t>
  </si>
  <si>
    <t>mechanical and electrical fit-out</t>
  </si>
  <si>
    <t>general contractor preliminaries</t>
  </si>
  <si>
    <t>general contractor margin</t>
  </si>
  <si>
    <t>general contractor contingency</t>
  </si>
  <si>
    <t>mechanical and electrical equipment</t>
  </si>
  <si>
    <t>"The cost model does not include any client direct costs, land purchase costs, utility works, abnormal groundworks, site works, active IT equipment, fibre capbling to support office fit-outs or professional services fees."</t>
  </si>
  <si>
    <t>Cateogry</t>
  </si>
  <si>
    <t>GC = General Contractor; GRs = General Requirements; contractor's overhead for managing the project; cost of having someone run the build</t>
  </si>
  <si>
    <t>Core/shell and architectural: the building itself; foundations, walls, interior, loading docks, architectural finishes; smaller for liquid-cooled because higher power density means a smaller building footprint</t>
  </si>
  <si>
    <t>Mechanical: cooling plant (chillers, coolant distribution, direct-to-chip loops, manifolds), also includes general HVAC, fire suppresion, and plumbing</t>
  </si>
  <si>
    <t>Electrical: switchgear, transformers, UPS, backup generators, PDUs, cabling/conduit. Everything from utility to rack-level power.</t>
  </si>
  <si>
    <t>This breakdown does not account for:</t>
  </si>
  <si>
    <t>IT hardware - GPUs, servers, CPUs, memory, and networking; "active IT equipment"</t>
  </si>
  <si>
    <t>Land</t>
  </si>
  <si>
    <t>Utility works - the grid interconnection, substation upgrades, or on-site power generation if applicable</t>
  </si>
  <si>
    <t>Dgtl Infra article: How Much Does it Cost to Build a Data Center? (2023)</t>
  </si>
  <si>
    <t>Industry blog/newsletter; not a consulting firm, not a research house with proprietary datasets</t>
  </si>
  <si>
    <t>Their data center cost article is one of the most-cited pieces in the space</t>
  </si>
  <si>
    <t>Their cost breakdown does not cite a primary source; it appears synthesized from publicly available operator disclosures and industry convention.</t>
  </si>
  <si>
    <t>Their operator specific figures are derived from SEC filings and earnings disclosures</t>
  </si>
  <si>
    <t>Can likely trust the $M/MW scale figures but take the breakdown with a grain of salt.</t>
  </si>
  <si>
    <t>"As a general rule, it costs between $600-$1,100 per gross square foot or $7-$12M/MW of commissioned IT load to build a data center."</t>
  </si>
  <si>
    <t>"…generally broken down into four main categories:"</t>
  </si>
  <si>
    <t>"Data center equipment…all have useful lives of 20+ years"</t>
  </si>
  <si>
    <t>"Scale [of the data center, MW] provides a build cost advantage"</t>
  </si>
  <si>
    <t>"Total develop costs for a greenfield data center typically range from $7-12M/MW of commissioned IT load."</t>
  </si>
  <si>
    <t>Four key areas where customer (data center) requirements differ, impacting building costs: power density, redundancy, scale, timing</t>
  </si>
  <si>
    <t>Key Takeaways</t>
  </si>
  <si>
    <t>Building</t>
  </si>
  <si>
    <t>Mechanical</t>
  </si>
  <si>
    <t>Electrical</t>
  </si>
  <si>
    <t>Excludes all GPU and necessary racks/networking/CPUs</t>
  </si>
  <si>
    <t>As data centers grow in size, this $/W value tends to decrease, though the exact relationship remains unknown.</t>
  </si>
  <si>
    <t>The overall cost of data centers tend to increase at a 7% CAGR</t>
  </si>
  <si>
    <t>Based on the above sources, it is reaonsable to assume the cost of a modern AI data center to be somewhere in the $10-12M/MW (IT Load) range. Includes:</t>
  </si>
  <si>
    <t>Land, building, mechanical, electrical</t>
  </si>
  <si>
    <t>Since AI data centers tend to cost on the upper end of that spectrum, let's assume $12M/MW conservatively.</t>
  </si>
  <si>
    <t>For a Future Limits facility (starting in 10 years), the cost scale comes to $23.6/W - nearly double today</t>
  </si>
  <si>
    <t>In today's dollars (assuming a 3% interest rate), this comes to $14.6/W</t>
  </si>
  <si>
    <t>In today's dollars (assuming a 3% inflation rate), this comes to $17.8/W</t>
  </si>
  <si>
    <t>Key Terms</t>
  </si>
  <si>
    <t>Powered Shell Scale</t>
  </si>
  <si>
    <t>Key Sizing Metric</t>
  </si>
  <si>
    <t>Compute (IT) Power</t>
  </si>
  <si>
    <t>Compute (IT) Power (Unit Conversion)</t>
  </si>
  <si>
    <t>Power of useful compute</t>
  </si>
  <si>
    <t>Facility Power</t>
  </si>
  <si>
    <t>IT Power * PUE</t>
  </si>
  <si>
    <t>Taking into account average power of GPU load</t>
  </si>
  <si>
    <t>Assuming negligible labor cost</t>
  </si>
  <si>
    <t>Powered Shell CapEx</t>
  </si>
  <si>
    <t>To match TDC's useful compute power</t>
  </si>
  <si>
    <t>Terrestrial Data Center - Research and Metrics Rationale</t>
  </si>
  <si>
    <r>
      <t>Cold shell:</t>
    </r>
    <r>
      <rPr>
        <sz val="11"/>
        <color theme="1"/>
        <rFont val="Aptos"/>
        <family val="2"/>
      </rPr>
      <t xml:space="preserve"> just the building - structure, roof, walls, floow. No mechanical or electrical systems installed. Basically the core/shell bucket alone.</t>
    </r>
  </si>
  <si>
    <r>
      <t>Warm shell:</t>
    </r>
    <r>
      <rPr>
        <sz val="11"/>
        <color theme="1"/>
        <rFont val="Aptos"/>
        <family val="2"/>
      </rPr>
      <t xml:space="preserve"> building plus partial electrical/mechanical infrastructure - maybe some power equipment and base building HVAC, but not the full redundant power chain or cooling equipment. Ready for a tenant to finish the fit-out.</t>
    </r>
  </si>
  <si>
    <r>
      <t>Powered shell / turn-key (minus IT):</t>
    </r>
    <r>
      <rPr>
        <sz val="11"/>
        <color theme="1"/>
        <rFont val="Aptos"/>
        <family val="2"/>
      </rPr>
      <t xml:space="preserve"> everything needed to accept IT equipment - full redundant power chain from utility to rack, full cooling plant, fire suppression, monitoring.</t>
    </r>
  </si>
  <si>
    <r>
      <t>1. Land and building shell (15-20%):</t>
    </r>
    <r>
      <rPr>
        <sz val="11"/>
        <color theme="1"/>
        <rFont val="Aptos"/>
        <family val="2"/>
      </rPr>
      <t xml:space="preserve"> building shell, raised floor</t>
    </r>
  </si>
  <si>
    <r>
      <t>2. Electrical Systems (40-50%):</t>
    </r>
    <r>
      <rPr>
        <sz val="11"/>
        <color theme="1"/>
        <rFont val="Aptos"/>
        <family val="2"/>
      </rPr>
      <t xml:space="preserve"> electrical backup generator, batteries, PDU, UPS, switchgear/transformers</t>
    </r>
  </si>
  <si>
    <r>
      <t>3. HVAC/Mechanical/Cooling (15-20%):</t>
    </r>
    <r>
      <rPr>
        <sz val="11"/>
        <color theme="1"/>
        <rFont val="Aptos"/>
        <family val="2"/>
      </rPr>
      <t xml:space="preserve"> computer room air conditioner (CRAC), computer room air handler (CRAH), chillers, pipes</t>
    </r>
  </si>
  <si>
    <r>
      <t>4. Building Fit-out (20-25%):</t>
    </r>
    <r>
      <rPr>
        <sz val="11"/>
        <color theme="1"/>
        <rFont val="Aptos"/>
        <family val="2"/>
      </rPr>
      <t xml:space="preserve"> lobby/entrance, rooms, shipping &amp; receiving area</t>
    </r>
  </si>
  <si>
    <r>
      <t xml:space="preserve">"In terms of the </t>
    </r>
    <r>
      <rPr>
        <b/>
        <sz val="11"/>
        <color theme="1"/>
        <rFont val="Aptos"/>
        <family val="2"/>
      </rPr>
      <t>powered shell,</t>
    </r>
    <r>
      <rPr>
        <sz val="11"/>
        <color theme="1"/>
        <rFont val="Aptos"/>
        <family val="2"/>
      </rPr>
      <t xml:space="preserve"> land costs range between $25 to $75 per gross sqft, while the building shell costs between $80 to $160 per gross sqft"</t>
    </r>
  </si>
  <si>
    <r>
      <t xml:space="preserve">"As such, the total </t>
    </r>
    <r>
      <rPr>
        <b/>
        <sz val="11"/>
        <color theme="1"/>
        <rFont val="Aptos"/>
        <family val="2"/>
      </rPr>
      <t>powered shell</t>
    </r>
    <r>
      <rPr>
        <sz val="11"/>
        <color theme="1"/>
        <rFont val="Aptos"/>
        <family val="2"/>
      </rPr>
      <t xml:space="preserve"> costs range between $105 to $235 per gross sqft, equivalent to 17% to 21% of total development costs."</t>
    </r>
  </si>
  <si>
    <r>
      <t xml:space="preserve">For a Next-Gen facility (starting in 5 years), the cost scale comes to $16.8/W </t>
    </r>
    <r>
      <rPr>
        <i/>
        <sz val="11"/>
        <color theme="1"/>
        <rFont val="Aptos"/>
        <family val="2"/>
      </rPr>
      <t>not accounting for inflation</t>
    </r>
  </si>
  <si>
    <t>2025 Environmental Report (2024 data)</t>
  </si>
  <si>
    <t>84% less overhead than industry average (1.56)</t>
  </si>
  <si>
    <t>"The average annual power usage effectiveness (PUE) for our global fleet of data centers dropped below 1.10 to 1.09"</t>
  </si>
  <si>
    <t>"Reached 96% of renewable energy coverage"</t>
  </si>
  <si>
    <t>"Achieved an annual average global PUE of 1.39"</t>
  </si>
  <si>
    <t>"Achieved 0.95 average annual Water Usage Effectiveness (WUE) for our entire global portfolio of data centers"</t>
  </si>
  <si>
    <t>Globally consumed 8.1 billions gallons of water across data centers</t>
  </si>
  <si>
    <t>"Average PUE levels remain mostly flat for the fifth consecutive year, but this obscures advances in newer, larger facilities."</t>
  </si>
  <si>
    <t>"In the 2024 survey results, the industry average PUE [is] 1.56"</t>
  </si>
  <si>
    <t>Significant drop over the last 20 years but flattening out</t>
  </si>
  <si>
    <t>"Many recent builds consistently achieve a PUE of 1.3 - and sometimes much better"</t>
  </si>
  <si>
    <t>Powered Shell Scale ($/W)</t>
  </si>
  <si>
    <t>Conservative today; assumes trends of costs continue on current trajectory</t>
  </si>
  <si>
    <t>Most new data centers today are 1.3, Google is already at 1.1 (assume standard for next gen), and future limits should exceed today's best state.</t>
  </si>
  <si>
    <t>US Energy Information Administration</t>
  </si>
  <si>
    <t>The US national average industrial electricity price in 2024 was $0.0813/kWh</t>
  </si>
  <si>
    <t>PVTech</t>
  </si>
  <si>
    <t>US solar PPA prices climb to $61.67/MWh</t>
  </si>
  <si>
    <t>$0.06167/kWh</t>
  </si>
  <si>
    <t>Greening (report)</t>
  </si>
  <si>
    <t>ERCOT - still the most competitive region for solar PPAs</t>
  </si>
  <si>
    <t>Average prices ranging from $35-45/MWh</t>
  </si>
  <si>
    <t>$0.035-$0.045/kWh</t>
  </si>
  <si>
    <t>Let's assume $0.06/kWh for a conservative scenario today.</t>
  </si>
  <si>
    <t>"Industrial" rate is an average across all industrial consumers; data centers may be able to negotiate better rates.</t>
  </si>
  <si>
    <t>The trend is upward in the near term, let's assume $0.08/kWh for Next Gen</t>
  </si>
  <si>
    <t>Future Limits are uncertain considering potentially better behind-the-meter power supplies, but let's assume $0.10/kWh from the grid.</t>
  </si>
  <si>
    <t>$0.06/kWh is pretty standard today; assuming upward trend in the future and neglecting potential behind-the-meter solutions.</t>
  </si>
  <si>
    <t>Water Price</t>
  </si>
  <si>
    <t>Electricity Price</t>
  </si>
  <si>
    <t>Electricity Price ($/kWh)</t>
  </si>
  <si>
    <t>Water Price ($/gallon)</t>
  </si>
  <si>
    <t>WUE (L/kWh)</t>
  </si>
  <si>
    <t>AWS 2024 Sustainability Report</t>
  </si>
  <si>
    <t>AWS achieved a global data center WUE of 0.15 liters of water withdrawn per kWh of IT load in 2024, a 17% improvement from 2023 and 40% improvement since 2021</t>
  </si>
  <si>
    <t>AWS is committed to being water positive by 2030; returning more water to communities than we use in direct operations</t>
  </si>
  <si>
    <t>Cologix closed-loop liquid cooling systems</t>
  </si>
  <si>
    <t>"In 2024, Cologix achieved an average WUE of 0.203 across its facilities, far below the industry average of 1.8."</t>
  </si>
  <si>
    <t>Lawrence Barkeley National Laboratory</t>
  </si>
  <si>
    <t>US fleet-wide average (air and liquid cooled included)</t>
  </si>
  <si>
    <t>Average WUE is expected between 0.45 and 0.48 L/kWh</t>
  </si>
  <si>
    <t>Environmental and Energy Study Institute</t>
  </si>
  <si>
    <t>"The average WUE across data centers is 1.9 L/kWh"</t>
  </si>
  <si>
    <t>Given the numbers vary widely for data centers (a mix of architectures), we'll take a conservative 1.8 L/kWh for today's value</t>
  </si>
  <si>
    <t>Next Gen (closed-loop) solutions could hit 0.2 L/kWh if Cologix's architecture is widely adopted</t>
  </si>
  <si>
    <t>Future Limits means an ideal 0 L/kWh - fully enclosed and recycled water system.</t>
  </si>
  <si>
    <t>Industry average today is 1.8, but current closed-loop systems exhibit 0.2. Physical limit is 0.</t>
  </si>
  <si>
    <t>Water Usage Effectiveness (WUE)</t>
  </si>
  <si>
    <t>L/kWh</t>
  </si>
  <si>
    <t>US Environmental Protection Agency</t>
  </si>
  <si>
    <t>Commercial cost of water, national average: $6.13/1000 gallons</t>
  </si>
  <si>
    <t>US Federal Energy Management Program (FEMP) Guidance on Utility Rate Estimations</t>
  </si>
  <si>
    <t>Using these two extremely authoritative sources, water prices should follow the trend:</t>
  </si>
  <si>
    <t>Today: $6.13 / 1000 gallons</t>
  </si>
  <si>
    <t>Next Gen (5 years): $7.11 / 1000 gallons</t>
  </si>
  <si>
    <t>Future Limits (10 years): $8.24 / 1000 gallons</t>
  </si>
  <si>
    <t>Industry average today $6.13/1000 gallons; official federal estimate calculator informs future prices.</t>
  </si>
  <si>
    <t>"Maximum real (or net-of-inflaiton) compound annual escalation rates should be capped at 3.0% for water supply"</t>
  </si>
  <si>
    <t>Low-end $/W</t>
  </si>
  <si>
    <t>High-end $/W</t>
  </si>
  <si>
    <t>Avg $/W</t>
  </si>
  <si>
    <t>Hardware refresh</t>
  </si>
  <si>
    <t>Infrastructure maintenance</t>
  </si>
  <si>
    <t>Total</t>
  </si>
  <si>
    <t>Where this might fit in</t>
  </si>
  <si>
    <t>Compute</t>
  </si>
  <si>
    <t>Deployment</t>
  </si>
  <si>
    <t>In the model, we account for hardware refresh as a separate line item. Therefore, subsystem OpEx breakdown might look more like:</t>
  </si>
  <si>
    <t>Consolidated subsystem OpEx breakdown could be:</t>
  </si>
  <si>
    <t>Infrastructure maintenance, staffing</t>
  </si>
  <si>
    <t>Network, software, compliance</t>
  </si>
  <si>
    <t>Subsystem</t>
  </si>
  <si>
    <t>Scope</t>
  </si>
  <si>
    <t>OpEx Breakdown for a 100 MW Facilitiy (see source for detailed description):</t>
  </si>
  <si>
    <t>Assumes 30 MW data center base case</t>
  </si>
  <si>
    <t>Does not give scale without buying the paper</t>
  </si>
  <si>
    <t>% OpEx</t>
  </si>
  <si>
    <t>% Opex</t>
  </si>
  <si>
    <t>Cross-check Alpha-Matica</t>
  </si>
  <si>
    <t>Amortized hardware refresh is highly variable, could contribute to this difference</t>
  </si>
  <si>
    <t>OpEx Breakdown:</t>
  </si>
  <si>
    <t>--&gt; does not line up very well</t>
  </si>
  <si>
    <t>Dependent on financing situation</t>
  </si>
  <si>
    <t>Power is very dependent on usage, so we can calculate that separately</t>
  </si>
  <si>
    <t>Amortized hardware refresh dependent on hardware cost and time scale, so we calculate that separately</t>
  </si>
  <si>
    <t>Capital repayment/rent depending on financing structure - we exclude this type of ongoing cash flow from OpEx (in CapEx)</t>
  </si>
  <si>
    <t>We need to add in property taxes</t>
  </si>
  <si>
    <t>We're left with:</t>
  </si>
  <si>
    <t>Software, Security, &amp; Compliance</t>
  </si>
  <si>
    <t>Alpha-Matica ratio</t>
  </si>
  <si>
    <t>Alpha-Matica $/W</t>
  </si>
  <si>
    <t>Thunder Said Category</t>
  </si>
  <si>
    <t>Uptime Institute (excluding capital repayments)</t>
  </si>
  <si>
    <t>---&gt; It seems there is a case here that these categories are roughly equally split and they can be scaled via the Alpha-Matica $/W breakdown</t>
  </si>
  <si>
    <t>The breakdown itself is less important, but alignment (or rough alignment) between sources indicates the data is starting to converge.</t>
  </si>
  <si>
    <t>$/W total OpEx is most important; breakdown is used to model technical progression over time</t>
  </si>
  <si>
    <t>Cost of power</t>
  </si>
  <si>
    <t>Maintenance &amp; Staffing</t>
  </si>
  <si>
    <t>Preventative maintenance for power/cooling/building + staff</t>
  </si>
  <si>
    <t>Network &amp; Software</t>
  </si>
  <si>
    <t>Connectivity, software licensing, cybersecutiy, regulatory compliance</t>
  </si>
  <si>
    <t>Ratio</t>
  </si>
  <si>
    <t>Furthermore, we can simplify these into:</t>
  </si>
  <si>
    <t>Maintenance &amp; Staffing OpEx Scale</t>
  </si>
  <si>
    <t>Breakdown:</t>
  </si>
  <si>
    <t>CG/GRs and GC fees (ie preliminaries)</t>
  </si>
  <si>
    <t>Core/shell and architectural</t>
  </si>
  <si>
    <t>Mechanical (incl. equipment)</t>
  </si>
  <si>
    <t>Electrical (incl. equipment)</t>
  </si>
  <si>
    <t>Air-cooled</t>
  </si>
  <si>
    <t>Liquid-cooled</t>
  </si>
  <si>
    <t>Many prices per W listed in one of the charts, a few examples:</t>
  </si>
  <si>
    <t>Silicon Valley $13.31/W</t>
  </si>
  <si>
    <t>The bigger the MW, the more economies of scale</t>
  </si>
  <si>
    <t>Maintenance for power/cooling/building + staff</t>
  </si>
  <si>
    <t>Maintenance &amp; Staffing OpEx</t>
  </si>
  <si>
    <t>Network &amp; Software OpEx Scale</t>
  </si>
  <si>
    <t>Connectivity, licensing, cybersecutiy, compliance</t>
  </si>
  <si>
    <t>Network &amp; Software OpEx</t>
  </si>
  <si>
    <t>All numbers are on a per year basis</t>
  </si>
  <si>
    <t>Maintenance &amp; Staffing OpEx Scale ($/W/year)</t>
  </si>
  <si>
    <t>Network &amp; Software Scale ($/W/year)</t>
  </si>
  <si>
    <t>US FEMP Guidance on Utility Rate Estimations</t>
  </si>
  <si>
    <t>For non-energy O&amp;M costs (labor, repair parts, maintenance, the guidance states:</t>
  </si>
  <si>
    <t>"In these cases, in the absence of compelling evidence to the contrary, the long-term general inflation rate as forecast by the President's Council of Economic Advisers (CEA), as found in NIST's current EERC tool, is a logical escalator."</t>
  </si>
  <si>
    <t>Meaning, the official recommendation is that O&amp;M costs escalate at the general inflation rate - net of inflation that is 0% CAGR.</t>
  </si>
  <si>
    <t>Estimate grounded in today's general consensus; official guidance is that this tracks with inflation, meaning 0% CAGR net inflation.</t>
  </si>
  <si>
    <t>BLS Producer Price Index by Industry: Software Publishers</t>
  </si>
  <si>
    <t>Jan 2026 index value: 97.558; Dec 2025: 101.327; Oct 2025: 102.852; Sep 2025: 99.746</t>
  </si>
  <si>
    <t>The index has gone down from 100 (Dec 1997) to 97.6 (Jan 2026) over 28 years - a nominal decline of 2.4%.</t>
  </si>
  <si>
    <t>US CPI rose roughly 80-85% over the same period, meaning software prices have actually fallen substantially in real terms, ~2-3% CAGR</t>
  </si>
  <si>
    <t>BLS Producer Price Index by Industry: Data Processing, Hosting and Related Services</t>
  </si>
  <si>
    <t>Sep 2025 index value: 123.930; Aug 2025: 124.910; Jul 2025: 126.753; Jun 2025: 123.663</t>
  </si>
  <si>
    <t>The index has gone from 100 (Dec 2000) to 123.9 (Sep 2025) over ~25 years - a nominal increase of 24%, or roughly 0.9% CAGR</t>
  </si>
  <si>
    <t>US CPI rose roughly 75-80% over the same period, meaning data processing and hosting service prices have also declined in real terms, ~2.5-2% CAGR</t>
  </si>
  <si>
    <t>The two BLS sources indicate:</t>
  </si>
  <si>
    <t>Prices have been flat or declining in nominal terms over 25+ years; meaningfully deflationary in real terms</t>
  </si>
  <si>
    <t>Estimate grounded in today's general consensus; history suggests these costs remain flat or deflate ain real terms over time, safe to assume 0% CAGR net inflation.</t>
  </si>
  <si>
    <t>Prince William County (Virginia) tax history</t>
  </si>
  <si>
    <t>Rateswere frozen from 2012 to 2019, then increased over subsequent years.</t>
  </si>
  <si>
    <t>The rate trajectory was ~24% CAGR over this five year increase, but likely playing catch-up from previous freeze.</t>
  </si>
  <si>
    <t>CAGR over the 13 year period was 9.76%</t>
  </si>
  <si>
    <t>This represents a real CAGR post-inflation of approximately 6.96%</t>
  </si>
  <si>
    <t>Some of this increase may be playing catch-up for lost cash flow, meaning we could assume some nominal lower rate, say 5%</t>
  </si>
  <si>
    <t>"Property taxes are estimated to be… about 12% of annual operating spending"</t>
  </si>
  <si>
    <t>US Chamber of Commerce</t>
  </si>
  <si>
    <t>Estimate grounded in multiple sources; history suggests a 5% real CAGR</t>
  </si>
  <si>
    <t>Utilizing this model to compute OpEx, this comes out to be roughly $0.17/W/yr</t>
  </si>
  <si>
    <t>This matches the relative scale in the Uptime Institute source.</t>
  </si>
  <si>
    <t>$/W/year</t>
  </si>
  <si>
    <t>Total tax burden per year</t>
  </si>
  <si>
    <t>Property Tax OpEx</t>
  </si>
  <si>
    <t>"Total IT Equipment estimated at $2.5-$4B for 100 MW facility with 100,000 GPUs"</t>
  </si>
  <si>
    <t>This doesn't exactly line up with my model - a 100 MW facility is ~78,000 H100 GPUs</t>
  </si>
  <si>
    <t>Likely a difference in GPU selection</t>
  </si>
  <si>
    <t>78,000 H100 GPUs cost rough $2.5B</t>
  </si>
  <si>
    <t>Conservatively, $4B total IT - $2.5B for GPUs = $1.5B for non-GPU IT hardware CapEx max</t>
  </si>
  <si>
    <t>This equates to roughly 60% of GPU spend</t>
  </si>
  <si>
    <t>GPUs represent 39% of total CapEx</t>
  </si>
  <si>
    <t>Networking + CPUs + Storage are roughly 17% of total CapEx</t>
  </si>
  <si>
    <t>17/39=44% of GPU spend</t>
  </si>
  <si>
    <t>Remaining IT equipment is 34.2%</t>
  </si>
  <si>
    <t>IT proportion is 34.2/65.8=52%</t>
  </si>
  <si>
    <t>---&gt;The average of these three is 52%.</t>
  </si>
  <si>
    <t>Non-GPU IT Hardware CapEx (% of GPU $)</t>
  </si>
  <si>
    <t>GPUs account for 65.8% of Meta's H100 cluster. Includes integration and much more.</t>
  </si>
  <si>
    <t>Competing downward pressure on CPUs but upward pressure on RAM balance prices out</t>
  </si>
  <si>
    <t>Fairly conservative estimate today; future values are uncertain due to market forces, but likely balances out due to CPU cost reduction and RAM cost increase</t>
  </si>
  <si>
    <t>CPUs,  networking devices, storage, etc.</t>
  </si>
  <si>
    <t>3.785 liters / gallon</t>
  </si>
  <si>
    <t>CapEx costs are under Deployment's "Powered Shell"</t>
  </si>
  <si>
    <t>GPUs + non-GPU IT Hardware</t>
  </si>
  <si>
    <t>CapEx Breakdown and Comparison</t>
  </si>
  <si>
    <t>Assumption Level</t>
  </si>
  <si>
    <t>OpEx Breakdown and Comparison</t>
  </si>
  <si>
    <t>CapEx Roadmap Progression</t>
  </si>
  <si>
    <t>OpEx Roadmap Progression</t>
  </si>
  <si>
    <t>Orbital Data Center - Research and Metrics Rationale</t>
  </si>
  <si>
    <t>Solar Specific Cost ($/W)</t>
  </si>
  <si>
    <t>Solar Specific Mass (kg/W)</t>
  </si>
  <si>
    <t>Radiator Operating Temp (K)</t>
  </si>
  <si>
    <t>Radiator Mass Density (kg/m²)</t>
  </si>
  <si>
    <t>Radiator Cost Density ($/m²)</t>
  </si>
  <si>
    <t>Payload to Orbit (kg)</t>
  </si>
  <si>
    <t>Launch Rate (launch/year)</t>
  </si>
  <si>
    <t>"Multi-junction cells cost 50-100x per watt compared to terrestrial silicon"</t>
  </si>
  <si>
    <t>QYResearch</t>
  </si>
  <si>
    <t>"Critical question: can III-V space cells achieve $100-200/W? Not in this decade."</t>
  </si>
  <si>
    <t>"Can they achieve $300-400/W at constellation scale? Yes, and this is the procurement battleground."</t>
  </si>
  <si>
    <t>Nanowerk</t>
  </si>
  <si>
    <t>"Panels… rank among the most expensive components onboard."</t>
  </si>
  <si>
    <t>"The gallium arsenide cells that dominate space power are grown atom by atom in high-vacuum chambers from scarce materials."</t>
  </si>
  <si>
    <t>"After recent cost reductions driven by mega-constellation demand, space-grade cells still run between $50-150 per watt."</t>
  </si>
  <si>
    <t>"Terrestrial silicon panels, by contrast, now sell for under $0.30 per watt</t>
  </si>
  <si>
    <t>"That gap of two to three orders of magnitude persists because space cells must deliver 28-34% efficiency under extreme radiation and thermal stress"</t>
  </si>
  <si>
    <t>"Metal halide perovskites present a promising option." for a future technology</t>
  </si>
  <si>
    <t>Fabrication process much simpler than crystal growth required for III-V cells.</t>
  </si>
  <si>
    <t>Market Report Analytics</t>
  </si>
  <si>
    <t>The unit cost per watt for these cells is significantly higher than traditional silicon solar cells, often ranging from $50-150 per watt or more"</t>
  </si>
  <si>
    <t>Source Energy Gen 3 Mini Solar Module</t>
  </si>
  <si>
    <t>Specific Powers up to 303 W/kg</t>
  </si>
  <si>
    <t>Full electrical redundancy</t>
  </si>
  <si>
    <t>Tolerant to micrometeroites and localized shading</t>
  </si>
  <si>
    <t>Space grade materials</t>
  </si>
  <si>
    <t>$462 at 15,000 volume</t>
  </si>
  <si>
    <t>15.6W module</t>
  </si>
  <si>
    <t>$/W at scale</t>
  </si>
  <si>
    <t>Unclear if this is a typical III-V gallium arsenide solar cell or if this is a new technology</t>
  </si>
  <si>
    <t>Flight heritage on SpaceX Transport 8 and 9 but production likely not in the constellation scale yet ($/W unproven)</t>
  </si>
  <si>
    <t>Cites industry standard today at $100/W</t>
  </si>
  <si>
    <t>3000 W/kg</t>
  </si>
  <si>
    <t>$15/W</t>
  </si>
  <si>
    <t>Targeting 50 MW/year production</t>
  </si>
  <si>
    <t>New thin film design in Starlight Air</t>
  </si>
  <si>
    <t>Source Energy represents a promising new standard at $29.62/W and 303 W/kg. This represents a safe next gen state at ODC scale.</t>
  </si>
  <si>
    <t>Starlight Air is the kind of radical technology change that is needed here, but it is only a lab prototype. $15/W and 3000 W/kg for future limits.</t>
  </si>
  <si>
    <t>Redwire Space Roll Out Solar Array (ROSA)</t>
  </si>
  <si>
    <t>ROSA is used on the ISS</t>
  </si>
  <si>
    <t>Several configurations are listed on the datasheet</t>
  </si>
  <si>
    <t>The average derived W/kg is 96 W/kg</t>
  </si>
  <si>
    <t>NVIDIA H100 PCIe GPU</t>
  </si>
  <si>
    <t>"Thermal qualification temperature = 87 degrees C"</t>
  </si>
  <si>
    <t>This is max operating temperature but not recommended for sustained operations.</t>
  </si>
  <si>
    <t>Real data center deployment typically hold GPU junction temperatures in the 75-83C range</t>
  </si>
  <si>
    <t>Assume 350K for 24/7 workload</t>
  </si>
  <si>
    <t>Franhofer IMS / IMAPS HiTEC Conference (2012)</t>
  </si>
  <si>
    <t>"Standard bulk CMOS technology targets operating temperature of not more than 175C. Silicon-on-insulator technologies are commonly used up to 250C"</t>
  </si>
  <si>
    <t>The fundamental physics limit for bulk silicon CMOS is around 175 C (448K) before reliability mechanisms degrade unacceptably.</t>
  </si>
  <si>
    <t>SOI processes extend this to 250C but at the cost of performance density.</t>
  </si>
  <si>
    <t>Automotive-grade Ics are already qualified to AEC-Q100 Grade 0 at Tj_max=150C</t>
  </si>
  <si>
    <t>Synopsys / TSMC AEC-Q100 Grade 1 Qualification (2016)</t>
  </si>
  <si>
    <t>"DesignWare Foundation IP meets automotive Grade 1 temperature (-40C to +150C junction) requirements"</t>
  </si>
  <si>
    <t>TSMC's 16nm FinFET process (same general family as data center nodes) has been qualified up to 150C (423K) for automotive applications</t>
  </si>
  <si>
    <t>Possible consequences include shorter lifetimes and/or worse reliability</t>
  </si>
  <si>
    <t>NASA Glenn Research Center - Silicon Carbide Electronics and Sensors Link</t>
  </si>
  <si>
    <t>"SiC devices have repeatedly remonstrated operation above 500 C, far exceeding the temperature limits of Si-based electronics"</t>
  </si>
  <si>
    <t>NASA Science - Integrated Circuits to Enable Exploration of the Harshest Environments Link</t>
  </si>
  <si>
    <t>"Newly developed silicon carbide electronics have operated in ovens for over a year at 500C and for 60 days in simulated Venus conditions"</t>
  </si>
  <si>
    <t>These are 195-transistor simple logic circuits, comparable in complexity to 1970s-era electronics.</t>
  </si>
  <si>
    <t>These technologies are likely too much in their infancy to assume ready for space GPU production in the next 10 years.</t>
  </si>
  <si>
    <t>--&gt; Recommend taking 500 K (227 C) as the Future Limits 10-year mark</t>
  </si>
  <si>
    <t>This sits at the upper end of what SOI silicon CMOS can deliver and a possible "de-rated" case for a SiC technology</t>
  </si>
  <si>
    <t>Constant</t>
  </si>
  <si>
    <t>AZ-93</t>
  </si>
  <si>
    <t>"emitting 89-93% of the internal heat generated"</t>
  </si>
  <si>
    <t>Gold standard today</t>
  </si>
  <si>
    <t>Vantablack</t>
  </si>
  <si>
    <t>"The apparent temperature of a blackbody coated with Vantablack-S (MWIR emissivity &gt;99.7%), would be 20.009C"</t>
  </si>
  <si>
    <t>Imaging and Machine Vision Europe</t>
  </si>
  <si>
    <t>"In the MWIR, emissivity is greater than 99.8%; in the LWIR, it is greater than 99.5%"</t>
  </si>
  <si>
    <t>--&gt; Carbon nanotube-based coatings like Vantablack S-IR achieve emissivities of 0.995-0.998 in laboratory today.</t>
  </si>
  <si>
    <t>Vantablack coating has been through partial space qualification including shock, vibration, thermal cycling, and outgassing.</t>
  </si>
  <si>
    <t>Only works if radiator is thermally shielded from sun (must be in SSO facing away)</t>
  </si>
  <si>
    <t>Approach: use 0.95 as next gen 5-year mark, 0.97 as future limits 10-year mark</t>
  </si>
  <si>
    <t>MetalLock Honeycom Systems</t>
  </si>
  <si>
    <t>Total thickness: 20 mm</t>
  </si>
  <si>
    <t>Weight: 6.3 kg/m^2</t>
  </si>
  <si>
    <t>Space Mission Analysis and Design (textbook)</t>
  </si>
  <si>
    <t>Table 11-45. Thermal Hardware Mass and Power Estimates</t>
  </si>
  <si>
    <t>Radiator panels: 3.3 kg/m^2</t>
  </si>
  <si>
    <t>Passive panel without deployment mechanism</t>
  </si>
  <si>
    <t>Redwire Space Q-Rad Deployable Radiator</t>
  </si>
  <si>
    <t>"Areal density 3.5 to 4.9 kg/m^2"</t>
  </si>
  <si>
    <t>“Leveraging ultra-high thermal conductivity solid-state materials, Q-Rad is a compact, lightweight, modular, and passive thermal control solution”</t>
  </si>
  <si>
    <t>This is the subsystem-level areal density (panel + high-strain ccomposite hinges + heat transport)</t>
  </si>
  <si>
    <t>Because it's deployable, it radiates on both sides</t>
  </si>
  <si>
    <t>Small and thin - may not scale to adequate satellite size</t>
  </si>
  <si>
    <t>The Aerospace Corporation</t>
  </si>
  <si>
    <t>Table also shows max operating temperatures of 100-120 C, potentially constraining max W output</t>
  </si>
  <si>
    <t>Chart showing some state-of-the-art passive deployable radiators fall in line with the 6 kg/m^2 goal</t>
  </si>
  <si>
    <t>--&gt; Passive deployable radiators are the best combination of simplicity (better than active) and heat rejection (better than single-sided)</t>
  </si>
  <si>
    <t>These radiators are sheets or honeycomb structures of conductive material, deployed with simple mechanisms</t>
  </si>
  <si>
    <t>The kg/m^2 will be higher (due to mechanisms) than a fixed structure, but the radiation efficacy will be double</t>
  </si>
  <si>
    <t>We'll take 6 kg/m^2 as a moderate ambition today, with potential optimized versions dropping down to 5 or 4 kg/m^2 in the future.</t>
  </si>
  <si>
    <t>Space-grade deployable passive radiator costs are not readily available online. We must build up an estimate from component material costs.</t>
  </si>
  <si>
    <t>Aircraft Spruce</t>
  </si>
  <si>
    <t>Machine Mfg indicates approximately $1.526/lb</t>
  </si>
  <si>
    <t>Component 1: Aluminum Face Sheets (2x0.020" 5052)</t>
  </si>
  <si>
    <t>Mass: 2*0.000508m*2680 kg/m^3=2.72 kg/m^2 (first principles + aluminum density)</t>
  </si>
  <si>
    <t>Retail cost: $115.99 for a 0.032" thick sheet</t>
  </si>
  <si>
    <t>48x72"=2.23m^2. That's $52/m^2</t>
  </si>
  <si>
    <t>Scaling linearly to 0.020" --&gt; $33/m^2 per sheet</t>
  </si>
  <si>
    <t>Two sheets = ~$66/m^2 at retail</t>
  </si>
  <si>
    <t>Metal value approximately $1.526/lb as of June 2025</t>
  </si>
  <si>
    <t>$3.36/kg</t>
  </si>
  <si>
    <t>Contained metal value, not finished thin-gauge sheet.</t>
  </si>
  <si>
    <t>Finished sheet would carry a rolling/slitting premium; 1.5-2x metal value</t>
  </si>
  <si>
    <t>~$5-7/kg</t>
  </si>
  <si>
    <t>Two face sheets at 2.72 kg/m^2 * $5-7/kg = ~$14-19/m^2 at bulk</t>
  </si>
  <si>
    <t>Component 2: Honeycomb Core</t>
  </si>
  <si>
    <t>ACP Composites</t>
  </si>
  <si>
    <t>$99.42 through $593.24 for large-format HexWeb sheets</t>
  </si>
  <si>
    <t>48x96" sheet = 2.97 m^2.</t>
  </si>
  <si>
    <t>Mid-range estimate at $100/m^2 at retail</t>
  </si>
  <si>
    <t>Bulk pricing may (aggressively) be 50% of retail: $50/m^2</t>
  </si>
  <si>
    <t>Component 3: AZ-93</t>
  </si>
  <si>
    <t>This is likely a very thin coating, and the exact $/m^2 will likely fall into the noise of the other assumptions.</t>
  </si>
  <si>
    <t>Component 4: Deployment Mechanism</t>
  </si>
  <si>
    <t>Rough approximation given the state of aerospace manufacturing industry, but perhaps a 2x factor on direct material cost.</t>
  </si>
  <si>
    <t>Component 5: Manfuacturing &amp; Space Qualification Multiplier</t>
  </si>
  <si>
    <t>Since deployable radiators effectively double the radiator area, the cost factor should be less than 2x</t>
  </si>
  <si>
    <t>Rough approximation is 1.5x material cost.</t>
  </si>
  <si>
    <t>Current subtotal is ~$70/m^2, making a deployable version $105/m^2</t>
  </si>
  <si>
    <t>This puts material/manufacturing cost at $210/m^2 today.</t>
  </si>
  <si>
    <t>With optimized/automated manufacturing, this cost could be reduced another 10% in subsequent generations.</t>
  </si>
  <si>
    <t>Table A-2 Mass Distribution for Selected Spacecraft</t>
  </si>
  <si>
    <t>Structure</t>
  </si>
  <si>
    <t>ADCS</t>
  </si>
  <si>
    <t>Propulsion</t>
  </si>
  <si>
    <t>TT&amp;C</t>
  </si>
  <si>
    <t>"Avionics"</t>
  </si>
  <si>
    <t>Disclaimer: none of the satellites listed are for "compute" missions; ODCs may represent fundamentally different distributions here.</t>
  </si>
  <si>
    <t>an integrated solar/compute/radiator sandwich could reduce this structural cost greatly</t>
  </si>
  <si>
    <t>These are common "integration" factors that don't change much over time with new technology; perhaps a radically different architecture could change these.</t>
  </si>
  <si>
    <t>Integration subsystems (structure, propulsion, avionics) represent approximately 25-35% of total satellite bus manufacturing cost.</t>
  </si>
  <si>
    <t>This is the most weakly support estimate based on public information. We draw this from a few parallels:</t>
  </si>
  <si>
    <t>SMAD mass fractions:</t>
  </si>
  <si>
    <t>Structure + ADCS + TT&amp;C + Propulsion = ~42% of conventional satellite dry mass</t>
  </si>
  <si>
    <t>Cost fraction is slightly lower than mass fraction because structure (the largest component) is the cheapest per kg, while avionics (the smallest) is the most expensive</t>
  </si>
  <si>
    <t>Applying a modest discount for cost-vs-mass yields 30-35%</t>
  </si>
  <si>
    <t>Automotive analogy</t>
  </si>
  <si>
    <t>In automotive manufacturing, the structural, wiring, and electronic integration functions represent ~25-35% of vehicle manufacturing cost - a well-document ratio across the industry</t>
  </si>
  <si>
    <t>The analogy holds because both domains involve a structural frame supporting functional subsystems with power distribution and control electronics</t>
  </si>
  <si>
    <t>Apex bus pricing as a bound:</t>
  </si>
  <si>
    <t>Apex sells complete buses (structure + power + propulsion + avionics + thermal, excluding payload) for #3.5-9.5M at low volume</t>
  </si>
  <si>
    <t>For a typical mission, the bus represents 15-50% total satellite cost</t>
  </si>
  <si>
    <t>Within the bus itself, power and thermal are distinct subsystems that this model already prices separately</t>
  </si>
  <si>
    <t>The remaining integration fraction (structure + propulsion + avionics) is roughly 25-35% of the total</t>
  </si>
  <si>
    <t>There is no need to distinguish these components at this stage, so we will call this "integration systems" at 40.9% mass factor</t>
  </si>
  <si>
    <t>Integration Systems Mass Factor</t>
  </si>
  <si>
    <t>Integration Systems Cost Factor</t>
  </si>
  <si>
    <t>% of satellite bus (less payload)</t>
  </si>
  <si>
    <t>Power Subsystem Cost</t>
  </si>
  <si>
    <t>Compute Cost</t>
  </si>
  <si>
    <t>Radiator Cost</t>
  </si>
  <si>
    <t>Integration Systems Cost</t>
  </si>
  <si>
    <t>Total Satellite Material Cost</t>
  </si>
  <si>
    <t>As multiple sources pointed out, the industry standard (III-V gallium arsenide) stands at ~$100/W, but these likely aren't at the extreme scale that an ODC might be at</t>
  </si>
  <si>
    <t>We can apply a generous 50% reduction of the current standard for an estimate of the GW-scale price-volume discounts</t>
  </si>
  <si>
    <t>SpaceX Falcon 9</t>
  </si>
  <si>
    <t>Payload to LEO, resuable: 17,500 kg</t>
  </si>
  <si>
    <t>Price per kg: $4000/kg</t>
  </si>
  <si>
    <t>Price per Launch: ~$70M</t>
  </si>
  <si>
    <t>Estimated internal cost per launch: $28M</t>
  </si>
  <si>
    <t>Estimated internal cost per kg: $1600/kg</t>
  </si>
  <si>
    <t>Launch rate: 167 launches/year demonstrated in 2025</t>
  </si>
  <si>
    <t>Price per Launch</t>
  </si>
  <si>
    <t>"This year and next year I anticipate will be the highest Falcon launch rates that we will see"</t>
  </si>
  <si>
    <t>Launch Vehicle Price per Launch</t>
  </si>
  <si>
    <t>ODC Operations</t>
  </si>
  <si>
    <t>Sufficient vertical integration + economies of scale + advances in manufacturing techniques</t>
  </si>
  <si>
    <t>Associated with trajectory of solar technology</t>
  </si>
  <si>
    <t>Demands new technology paradigm</t>
  </si>
  <si>
    <t>Good R&amp;D can produce the most efficient design here</t>
  </si>
  <si>
    <t>Likely poor accuracy in these numbers, but likely in the right order-of-magnitude</t>
  </si>
  <si>
    <t>Somewhat confident in these; values based in well-regarded SMAD textbook. These are fairly "sticky" integration factors that don't change much, but could be optimized over several iterations.</t>
  </si>
  <si>
    <t>Rationale / Confidence</t>
  </si>
  <si>
    <t>Physical Replacement Rate (%/year)</t>
  </si>
  <si>
    <t>Unit Cost ($/GPU)</t>
  </si>
  <si>
    <t>GPU Stats - Shared between TDC and ODC</t>
  </si>
  <si>
    <t>NCSA Delta H100</t>
  </si>
  <si>
    <t>608 H100 GPUs over exactly 146 days; exactly 2 physical replacements after row-remapping exhausted (92 % of uncorrectable errors recovered without swap)</t>
  </si>
  <si>
    <t>Strongest direct SRE observation. Gold-standard primary data. Must equate to GPU-hours/year for failure rate</t>
  </si>
  <si>
    <t>--&gt;0.82%/year</t>
  </si>
  <si>
    <t>~0.8%/year</t>
  </si>
  <si>
    <t>Independent operator benchmark matching NCSA. Must equate to GPU-hours/year for failure rate</t>
  </si>
  <si>
    <t>Primary hyperscaler data. Conservative ground-based estimate. Must equate to GPU-hours/year for failure rate.</t>
  </si>
  <si>
    <t>~0.12%/year</t>
  </si>
  <si>
    <t>GPU Performance (TFLOPS)</t>
  </si>
  <si>
    <t>Mass (kg)</t>
  </si>
  <si>
    <t>H100 SXM</t>
  </si>
  <si>
    <t>Epoch AI</t>
  </si>
  <si>
    <t>"The energy efficiency of leading GPUs and TPUs has doubled every 2 years" in tensor-FP16 format</t>
  </si>
  <si>
    <t>A broader academic study found FLOPS/W doubles around every 3-4 years across 4,000+ GPU models.</t>
  </si>
  <si>
    <t>The faster 2-year doubling applies to frontier ML accelerators specifically; the 3-4 year rate is the broader GPU popultion</t>
  </si>
  <si>
    <t>FLOPS/W efficiency</t>
  </si>
  <si>
    <t>FLOPS/$ price-performance</t>
  </si>
  <si>
    <t>"The amount of floating-point operations/second per $ doubles every ~2.5 years" across 470 GPU models</t>
  </si>
  <si>
    <t>TDP growth</t>
  </si>
  <si>
    <t>arXiv paper</t>
  </si>
  <si>
    <t>"the TDP of the selected NVIDIA GPUs grew by a much slower 8.5% every year" from 171W (Tesla C870, 2007) to 1,100W (B300, 2025)</t>
  </si>
  <si>
    <t>GPU launch price grew at "22.9% CAGR from 2007 to 2025"</t>
  </si>
  <si>
    <t>GPU TDP (W) grows by 8.5%/yr CAGR</t>
  </si>
  <si>
    <t>GPU Performance FP8 (TFLOPS) 2 year doubling * TDP growth</t>
  </si>
  <si>
    <t>TFLOPS/W : 2-year doubling</t>
  </si>
  <si>
    <t>Eff. Rated Design Power : ~8.5%/yr (tracks TDP)</t>
  </si>
  <si>
    <t>Mass (kg) : ~6%/year estimate (no published trend rate; directionally up due to more transistors, stacks, thermal solutions)</t>
  </si>
  <si>
    <t>Estimated (5-year)</t>
  </si>
  <si>
    <t>Estimated (10-year)</t>
  </si>
  <si>
    <t>8.5%/yr CAGR</t>
  </si>
  <si>
    <t>No trend data, hold constant</t>
  </si>
  <si>
    <t>~6%/yr estimate; least confidence</t>
  </si>
  <si>
    <t>~8.5%/yr (tracks TDP)</t>
  </si>
  <si>
    <t>TFLOPS/W</t>
  </si>
  <si>
    <t>2-year doubling</t>
  </si>
  <si>
    <t>FLOPS/W 2yr doubling × TDP growth</t>
  </si>
  <si>
    <t>GPU Performance</t>
  </si>
  <si>
    <t>Assumption Confidence</t>
  </si>
  <si>
    <t>Moderate</t>
  </si>
  <si>
    <t>Conservative</t>
  </si>
  <si>
    <t>Aggressive</t>
  </si>
  <si>
    <t>Cost of GPU Refresh</t>
  </si>
  <si>
    <t>roughly 23%/yr launch price CAGR but moderated</t>
  </si>
  <si>
    <t>Unit Cost ($/GPU) : 23%/yr launch price CAGR</t>
  </si>
  <si>
    <t>Datacenters . Com</t>
  </si>
  <si>
    <t>"In the past, securing permits for a new data center might have taken 6-12 months. Today, in markets like Northern Virginia, Dublin, and Singapore, the process can stretch into 2-3 years."</t>
  </si>
  <si>
    <t>This is for permitting alone - land use, environmental, noise, building permits.</t>
  </si>
  <si>
    <t>This is highly dependent on market.</t>
  </si>
  <si>
    <t>Bain &amp; Company</t>
  </si>
  <si>
    <t>"Equipment lead times ranging from eight to 24 months. Skilled-labor shortages add further strain, but the most challenging of all is electricity utility connection with delays of up to five years."</t>
  </si>
  <si>
    <t>Utility interconnection - not construction, not permitting - is the longest single item. Up to 5 years for grid connection in constrained markets.</t>
  </si>
  <si>
    <t>Compute Forecast</t>
  </si>
  <si>
    <t>"Constructing high-voltage transmission lines, the backbone for delivering large loads, often requires five to seven years."</t>
  </si>
  <si>
    <t>"Studies can take 12 to 24 months or more, particularly when multiple developers compete for limited capacity."</t>
  </si>
  <si>
    <t>If new transmission is required, you're looking at 5-7 years just for the power delivery infrastructure.</t>
  </si>
  <si>
    <t>Campus Energy</t>
  </si>
  <si>
    <t>"In Texas, CenterPoint Energy reported a 700% increase in large load interconnection requests, growing 1 GW to 8 GW between late 2023 and late 2024."</t>
  </si>
  <si>
    <t>Queue congestion is worsening, not improving, which means these delays are likely to persist or grow in the near term.</t>
  </si>
  <si>
    <t>"the time from starting construction to achieving 1 GW of total facility power ranges from 1 to 3.6 years, with xAI projecting just 12 months to build Colossus 2."</t>
  </si>
  <si>
    <t>Crusoe / Stargate Abilene</t>
  </si>
  <si>
    <t>"Construction of the multi-building campus began in June 2024"</t>
  </si>
  <si>
    <t>~15 months from construction start to first phase energized (200 MW). Second phase (adding 1 GW more) started March 2025, expected energized mid-2026; roughly another 15 months</t>
  </si>
  <si>
    <t>"We assume a default 150-day lag from building roof completion and this milestone, which reflects the typical time required for interior fit-out, rack installation, and network integration."</t>
  </si>
  <si>
    <t>~5 months for commissioning after building copletion</t>
  </si>
  <si>
    <t>Network Installers</t>
  </si>
  <si>
    <t>Commissioning specialists are locked into builds 12-18 months in advance</t>
  </si>
  <si>
    <t>In summary</t>
  </si>
  <si>
    <t>Phase</t>
  </si>
  <si>
    <t>Typical Range</t>
  </si>
  <si>
    <t>Permitting</t>
  </si>
  <si>
    <t>6-36 months</t>
  </si>
  <si>
    <t>12-60+ months</t>
  </si>
  <si>
    <t>Construction</t>
  </si>
  <si>
    <t>12-24 months</t>
  </si>
  <si>
    <t>Commissioning</t>
  </si>
  <si>
    <t>3-6 months</t>
  </si>
  <si>
    <t>Power procurement /grid interconnect</t>
  </si>
  <si>
    <t>5-year horizon</t>
  </si>
  <si>
    <t>Several forces are pulling in both directions.</t>
  </si>
  <si>
    <t>Faster:</t>
  </si>
  <si>
    <t>modular/prefabricated approaches are reducing schedule by 30-50%</t>
  </si>
  <si>
    <t>FERC reforms are streamlining queue processing</t>
  </si>
  <si>
    <t>Learning curves are improving building design</t>
  </si>
  <si>
    <t>Slower/unchanged:</t>
  </si>
  <si>
    <t>Grid infrastructure buildout is physically slow</t>
  </si>
  <si>
    <t>Interconnection requests have surged 700% in some markets, and queue reforms are only showing "early signs of promise"</t>
  </si>
  <si>
    <t>Transformer and switchgear lead times remain multi-year. Gas turbine order backlogs…</t>
  </si>
  <si>
    <t>Estimate:</t>
  </si>
  <si>
    <t>Construction phase compresses to 10-18 months</t>
  </si>
  <si>
    <t>Permitting may ease modestly (2-3 years --&gt; 1-2 years)</t>
  </si>
  <si>
    <t>Power remains bottleneck, but on-site generation partially mitigates this</t>
  </si>
  <si>
    <t>10-year horizon</t>
  </si>
  <si>
    <t>Modular construction should be fully mature.</t>
  </si>
  <si>
    <t>But community opposition may become stronger.</t>
  </si>
  <si>
    <t>Permitting, Construction, &amp; Commissioning</t>
  </si>
  <si>
    <t>Permitting, Construction, &amp; Commissioning Time (years)</t>
  </si>
  <si>
    <t>3 years</t>
  </si>
  <si>
    <t>often cited today as the typical timeline</t>
  </si>
  <si>
    <t>Total: 2 years</t>
  </si>
  <si>
    <t>Estimate: 1.5 years</t>
  </si>
  <si>
    <t>Assumes no major supply chain bottlenecks, more behind-the-meter generation alleviates connection queue times, and modular construction speeds up the process.</t>
  </si>
  <si>
    <t>Deployment (Integration &amp; Operations)</t>
  </si>
  <si>
    <t>Amortized GPU Refresh OpEx</t>
  </si>
  <si>
    <t>Tech Today</t>
  </si>
  <si>
    <t>Future Concept</t>
  </si>
  <si>
    <t>Cost of services (excl. D&amp;A): $178.1M full-year 2024 (Iridium Q4 2024 8-K)</t>
  </si>
  <si>
    <t>Scope includes "network engineering and operations staff, including contractors, software maintenance, product support services" (Iridium 2023 ARS)</t>
  </si>
  <si>
    <t>Total constellation CapEx: ~$3B for 75 satellites launched, 66 operational + 9 spares (Iridium press release, Feb 2019)</t>
  </si>
  <si>
    <t>Pure constellation management (flight dynamics, TT&amp;C, anomaly resolution, software) is probably 40-50% of the total, or ~$70-90M/year</t>
  </si>
  <si>
    <t>Analog 1: Iridium NEXT - 66 satellites, $178M/year ops</t>
  </si>
  <si>
    <t>Analog 2: Starlink - ~10,000 satellites, ~$1.5B/year ops (estimated)</t>
  </si>
  <si>
    <t>That's ~6% of CapEx/year, but a large portion is customer-facing telecom ops (billing, provisioning, partner management, hosted payloads) that an ODC wouldn't have</t>
  </si>
  <si>
    <t>One estimate: "$1.5 Billion per year operation cost (ground and salary)" (NextBigFuture, May 2022)</t>
  </si>
  <si>
    <t>"SpaceX has more than 13,000 employees, of which roughly 3,000 work for Starlink" (Quilty Space, July 2025)</t>
  </si>
  <si>
    <t>At ~$200K fully-loaded per head, that's ~$600M/year in headcount alone</t>
  </si>
  <si>
    <t>Starlink ops include massive customer operations: 10M subscribers, billing in 150 countries, terminal logistics, spectrum coordination, customer support</t>
  </si>
  <si>
    <t>Pure constellation management (mission control, collision avoidance, software updates for 10,000+ sats) is likely $300-500M/year</t>
  </si>
  <si>
    <t>No billing, consumer support, terminal logistics, or spectrum coordination for user links</t>
  </si>
  <si>
    <t>Scope: mission control, flight dynamics, collision avoidance, attitude control, TT&amp;C monitoring, anomaly resolution, software/firmware updates, ground station leases, cybersecurity, regulatory compliance (ITU, debris mitigation)</t>
  </si>
  <si>
    <t>More comparable to a military/scientific constellation than a commercial telecom constellation</t>
  </si>
  <si>
    <t>No end-user customers : the "customer" is the operator's own AI workload</t>
  </si>
  <si>
    <t>Scaling Logic</t>
  </si>
  <si>
    <t>Traditional single-satellite ops: ~$1M/year per satellite (Armada International, 2020)</t>
  </si>
  <si>
    <t>Iridium: $178M / 66 sats = $2.7M/sat — but includes all customer-facing business</t>
  </si>
  <si>
    <t>Starlink pure constellation ops: ~$300-500M / 10,000 sats = $30-50K/sat — automation makes marginal satellite nearly free</t>
  </si>
  <si>
    <t>ODC range: 43 satellites (Future Concept) to 1,879 satellites (Tech Today)</t>
  </si>
  <si>
    <t>At $50K/sat, Tech Today = $94M/year; at the low end, fixed costs dominate</t>
  </si>
  <si>
    <t>$250M/year flat is ~1.4× Iridium's total cost of services, consistent with estimated Starlink constellation-management costs scaled down, and represents a steady-state team of 500-1,000 aerospace engineers/operators : conservative but not nonsensical</t>
  </si>
  <si>
    <t>Constellation Operations Cost ($/year)</t>
  </si>
  <si>
    <t>Flat estimate bounded by Iridium ($178M/yr) and Starlink (~$300-500M/yr) analogs; no end-user ops.</t>
  </si>
  <si>
    <t>Constellation Operations Cost</t>
  </si>
  <si>
    <t>Annual steady-state ground ops, flight dynamics, and software for the constellation</t>
  </si>
  <si>
    <t>Launch Cost</t>
  </si>
  <si>
    <t>Orbital Data Center : Launch Cost Break-Even - Tech Today</t>
  </si>
  <si>
    <t>$/kg</t>
  </si>
  <si>
    <t>Orbital Data Center : Launch Cost Break-Even - Next Gen</t>
  </si>
  <si>
    <t>Orbital Data Center : Launch Cost Break-Even - Future Concept</t>
  </si>
  <si>
    <t>Launch Cost Sensitivity</t>
  </si>
  <si>
    <t>Metric</t>
  </si>
  <si>
    <t>Metric: Power Usage Effectiveness (PUE)</t>
  </si>
  <si>
    <t>Metric: Electricity Price ($/kWh)</t>
  </si>
  <si>
    <t>Metric: Non-GPU Hardware CapEx</t>
  </si>
  <si>
    <t>TDC OpEx Metrics</t>
  </si>
  <si>
    <t>Metric: Water Usage Effectiveness (WUE; gallon/kWh)</t>
  </si>
  <si>
    <t>Metric: Water Price ($/gallon)</t>
  </si>
  <si>
    <t>Metric: Powered Shell Scale ($/W)</t>
  </si>
  <si>
    <t>Metric: Property Taxes</t>
  </si>
  <si>
    <t>Metric: Development Times</t>
  </si>
  <si>
    <t>Key Inputs Metrics - Technology State Estimation</t>
  </si>
  <si>
    <t>Most GPU metrics can be found in the H100 Datasheet</t>
  </si>
  <si>
    <t>Key Input Metrics - Technology State Estimation</t>
  </si>
  <si>
    <t>Metric: Radiator Mass Density (kg/m^2)</t>
  </si>
  <si>
    <t>Metric: Radiator Cost Density ($/m^2)</t>
  </si>
  <si>
    <t>Metric: Integration Systems Mass Factor</t>
  </si>
  <si>
    <t>Metric: Integration Systems Cost Factor</t>
  </si>
  <si>
    <t>Launch Vehicle Metrics</t>
  </si>
  <si>
    <t>Metric: Solar Specific Cost ($/W) &amp; Solar Specific Mass (kg/W)</t>
  </si>
  <si>
    <t>Metric: Radiator Operating Temp (K)</t>
  </si>
  <si>
    <t>Metric : GPU Failure Rate</t>
  </si>
  <si>
    <t>TDC Metrics</t>
  </si>
  <si>
    <t>Compute Metrics</t>
  </si>
  <si>
    <t>ODC Metrics</t>
  </si>
  <si>
    <t>Model</t>
  </si>
  <si>
    <t>TDC subsystems' breakdown, sourcing, and rationale of input metrics</t>
  </si>
  <si>
    <t>ODC subsystems' breakdown, sourcing, and rationale of input metrics</t>
  </si>
  <si>
    <t>Shared compute hardware input metrics (breakdown, sourcing, and rationale)</t>
  </si>
  <si>
    <t>Applying these to the input metrics…</t>
  </si>
  <si>
    <t>Workbook Tabs</t>
  </si>
  <si>
    <t>© 2026 Technology Strategy Partners | All rights reserved.</t>
  </si>
  <si>
    <t>New GPU Model Rate</t>
  </si>
  <si>
    <t>Data Center GPU Refresh Rate</t>
  </si>
  <si>
    <t>Time to Operation</t>
  </si>
  <si>
    <t>Property Taxes ($/W/yr)</t>
  </si>
  <si>
    <t>Property Taxes</t>
  </si>
  <si>
    <t>Tech Today - NPV</t>
  </si>
  <si>
    <t>Next Gen - NPV</t>
  </si>
  <si>
    <t>Future Concept - NPV</t>
  </si>
  <si>
    <t>Roadmap Progression - NPV</t>
  </si>
  <si>
    <t>What ODC ops scope may looks like</t>
  </si>
  <si>
    <t>Metric: Effective Emissivity ε</t>
  </si>
  <si>
    <t>Effective Emissivity ε</t>
  </si>
  <si>
    <t>Launch Price</t>
  </si>
  <si>
    <t>Output Comparison</t>
  </si>
  <si>
    <t>Number of Spare GPUs</t>
  </si>
  <si>
    <t>Total Mass</t>
  </si>
  <si>
    <t>Power/Compute/Cooling Mass</t>
  </si>
  <si>
    <t>Number of GPUs in Operation</t>
  </si>
  <si>
    <t>Integration Systems Mass</t>
  </si>
  <si>
    <t>Support staff, controls, amortized fleet refresh</t>
  </si>
  <si>
    <t>Financials</t>
  </si>
  <si>
    <t>ODC Sensitivity Equation: Slope</t>
  </si>
  <si>
    <t>ODC Sensitivity Equation: Y-intercept</t>
  </si>
  <si>
    <t>Break-even launch cost</t>
  </si>
  <si>
    <t>#</t>
  </si>
  <si>
    <t>Growth in Other GPU Metrics</t>
  </si>
  <si>
    <t>SpaceX Payload Users Guide</t>
  </si>
  <si>
    <t>"At the baseline reusable design, Starship can deliver over 100 metric tons to LEO"</t>
  </si>
  <si>
    <t>NASASpaceflight, May 2025 (https://www.nasaspaceflight.com/2025/05/future-starship-block-3-mars/)</t>
  </si>
  <si>
    <t>"will increase the Ship's payload capacity by 40 tons, bringing it to approximately 100+ tons reusable"</t>
  </si>
  <si>
    <t>Block 3 with Raptor 3 engines; 100T is the conservative operational floor</t>
  </si>
  <si>
    <t>Wikipedia (https://en.wikipedia.org/wiki/SpaceX_Starship)</t>
  </si>
  <si>
    <t>Block 2 "was planned to have a payload capacity of at least 100 tons to orbit when reused" but retired at 35T actual; Block 3 restores this target</t>
  </si>
  <si>
    <t>SpaceNews, March 2026 (https://spacenews.com/starlab-space-fully-books-commercial-payload-space-on-planned-space-station/)</t>
  </si>
  <si>
    <t>"In the company's 10-K filing, it said it has a launch contract priced at $90 million to send Starlab to orbit"</t>
  </si>
  <si>
    <t>Only publicly disclosed, legally binding Starship commercial price as of early 2026</t>
  </si>
  <si>
    <t>Basenor, March 2026 (https://www.basenor.com/blogs/news/spacex-scores-90m-starship-contract-to-launch-starlab-space-station)</t>
  </si>
  <si>
    <t>"now we know the actual contracted number landed at $90 million"</t>
  </si>
  <si>
    <t>At 100T payload @ $90M → $900/kg</t>
  </si>
  <si>
    <t>Elon Musk tweeted early 2025 targeting ~1 Starship launch/week within a year; actual 2025 result was 5 flights</t>
  </si>
  <si>
    <t>SpaceX Falcon 9 precedent: 18 launches in 2017 → 61 by 2022 (5 years). Comparable early ramp supports 52/yr within ~5 years of first operational Starship flights</t>
  </si>
  <si>
    <t>Wikipedia (https://en.wikipedia.org/wiki/List_of_Starship_launches)</t>
  </si>
  <si>
    <t>"Starship was launched just five times in 2025"</t>
  </si>
  <si>
    <t>Confirms current state vs. aspiration gap; 52/yr is a conservatively adjusted Elon timeline</t>
  </si>
  <si>
    <t>Future Concept : Mature Starship with heavy reuse</t>
  </si>
  <si>
    <t>Next Gen : Starship V3 early operations with some reuse</t>
  </si>
  <si>
    <t>Elon Musk, September 2024 (https://starship-spacex.fandom.com/wiki/Ship_(Starship%27s_Second_Stage))</t>
  </si>
  <si>
    <t>"Max payload to standard Earth reference orbit is actually ~180 tons for Starship when it is fully reusable and ~300 tons if expendable"</t>
  </si>
  <si>
    <t>New Space Economy, Dec 2025 (https://newspaceeconomy.ca/2025/12/12/the-heavy-lifters-a-comparative-analysis-of-launch-vehicle-payload-capacities/)</t>
  </si>
  <si>
    <t>"The future V3 variant, featuring stretched tanks and improved engines, is projected to double this capacity to at least 200 metric tons reusable, or potentially 400 tons expendable"</t>
  </si>
  <si>
    <t>Further stretch to 142m total length planned; 200T is a reasonable mature-state estimate for ~10yr horizon</t>
  </si>
  <si>
    <t>The 10-year performance is aspirational; we'll use 200T as the target</t>
  </si>
  <si>
    <t>NextBigFuture, Jan 2025 (https://www.nextbigfuture.com/2025/01/spacex-starship-roadmap-to-100-times-lower-cost-launch.html)</t>
  </si>
  <si>
    <t>At $90M build cost: "For 20 Flights: With 200 tons payload: $32.50 per kg" … "For 50 Flights: With 200 tons payload: $19.00 per kg"</t>
  </si>
  <si>
    <t>NextBigFuture, Aug 2025 (https://www.nextbigfuture.com/2025/08/spacex-launch-will-be-five-times-lower-cost-for-end-of-2025.html)</t>
  </si>
  <si>
    <t>"Estimated operational cost with high reuse rate (e.g., 100+ flights per booster): $10-15 million per launch, or ~$67-100 per kg for 150-ton payloads"</t>
  </si>
  <si>
    <t>Derived: $100/kg × 200,000 kg = $20M/launch. $100/kg is well above SpaceX's aspirational $10-20/kg internal cost but gives ODC generous benefit of the doubt; within range of credible independent estimates</t>
  </si>
  <si>
    <t>SpaceNews, Jan 2026 (https://spacenews.com/spacex-plans-next-starship-test-flight-in-march/)</t>
  </si>
  <si>
    <t>"SpaceX received approval in November to convert Space Launch Complex 37 at Cape Canaveral Space Force Station… into a Starship complex with two launch pads"</t>
  </si>
  <si>
    <t>5+ pads across 3 sites (Starbase 2 pads, KSC LC-39A, CCSFS SLC-37 2 pads); 1 launch/day physically achievable at ~10yr maturity with rapid reuse architecture</t>
  </si>
  <si>
    <t>F9 --&gt; Starship (Initial) --&gt; Starship (Mature)</t>
  </si>
  <si>
    <t>Starship (Initial)</t>
  </si>
  <si>
    <t>Starship (Mature)</t>
  </si>
  <si>
    <t>ODC 20-year Total Cost</t>
  </si>
  <si>
    <t>TDC 20-year Total Cost</t>
  </si>
  <si>
    <t>$B/year</t>
  </si>
  <si>
    <t>We expect this number to scale directly with GPU cost (and performance), therefore, will remain flat over time horizons</t>
  </si>
  <si>
    <t>Note: There is very little information on TDC OpEx that is publicaly available. In general, these are proprietary.</t>
  </si>
  <si>
    <t>The breakdowns and scope between sources are mixed; we had to estimate how these different sources may align.</t>
  </si>
  <si>
    <t>Therefore, it is conservative to assume 0% real growth (net inflation) in the software/network category.</t>
  </si>
  <si>
    <t>This is more speculative and generally assumes the industry gets better at building data centers, not worse.</t>
  </si>
  <si>
    <t>Many behind-the-meter solutions may eliminate the power procurement side of things.</t>
  </si>
  <si>
    <t>--&gt; Assume 400 K (127C) as the Next Gen 5-year mark - achievable with purpose-built silicon using existing known processes</t>
  </si>
  <si>
    <t>Unproven at scale</t>
  </si>
  <si>
    <t>5-year Total Cost</t>
  </si>
  <si>
    <t>10-year Total Cost</t>
  </si>
  <si>
    <t>20-year Total Cost</t>
  </si>
  <si>
    <t>ODC/TDC Total Cost Ratio</t>
  </si>
  <si>
    <t>Total Annual OpEx [$B]</t>
  </si>
  <si>
    <t>Radiators only rejects heat from GPU, not heat of absorption by solar panel.</t>
  </si>
  <si>
    <t>No degradation in performance for space-based solar cells.</t>
  </si>
  <si>
    <t>Assume bit flips from solar radiation do not impact performance of model training noticeably .</t>
  </si>
  <si>
    <t>Permission is hereby granted to any person obtaining a copy of this software/tool and associated documentation files (the “Software”) to use the Software, provided that this notice is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 No support, maintenance, or updates are implied or guaranteed.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</si>
</sst>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_);_(&quot;$&quot;* \(#,##0.0\);_(&quot;$&quot;* &quot;-&quot;??_);_(@_)"/>
    <numFmt numFmtId="168" formatCode="0.0%"/>
    <numFmt numFmtId="169" formatCode="_(&quot;$&quot;* #,##0.00000_);_(&quot;$&quot;* \(#,##0.00000\);_(&quot;$&quot;* &quot;-&quot;??_);_(@_)"/>
    <numFmt numFmtId="170" formatCode="0.0"/>
  </numFmts>
  <fonts count="22" x14ac:knownFonts="1">
    <font>
      <sz val="11"/>
      <color theme="1"/>
      <name val="Calibri"/>
      <family val="2"/>
      <scheme val="minor"/>
    </font>
    <font>
      <sz val="11"/>
      <color theme="1"/>
      <name val="Aptos"/>
      <family val="2"/>
    </font>
    <font>
      <b/>
      <sz val="11"/>
      <color theme="1"/>
      <name val="Aptos"/>
      <family val="2"/>
    </font>
    <font>
      <b/>
      <sz val="11"/>
      <color theme="0"/>
      <name val="Aptos"/>
      <family val="2"/>
    </font>
    <font>
      <i/>
      <sz val="11"/>
      <color theme="1"/>
      <name val="Aptos"/>
      <family val="2"/>
    </font>
    <font>
      <b/>
      <sz val="14"/>
      <color theme="1"/>
      <name val="Aptos"/>
      <family val="2"/>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1"/>
      <color rgb="FFFF0000"/>
      <name val="Aptos"/>
      <family val="2"/>
    </font>
    <font>
      <u/>
      <sz val="11"/>
      <color theme="10"/>
      <name val="Aptos"/>
      <family val="2"/>
    </font>
    <font>
      <sz val="11"/>
      <color rgb="FFFF0000"/>
      <name val="Aptos"/>
      <family val="2"/>
    </font>
    <font>
      <b/>
      <sz val="11"/>
      <name val="Aptos"/>
      <family val="2"/>
    </font>
    <font>
      <sz val="11"/>
      <name val="Aptos"/>
      <family val="2"/>
    </font>
    <font>
      <b/>
      <i/>
      <u/>
      <sz val="11"/>
      <color theme="1"/>
      <name val="Aptos"/>
      <family val="2"/>
    </font>
    <font>
      <sz val="14"/>
      <color theme="1"/>
      <name val="Aptos"/>
      <family val="2"/>
    </font>
    <font>
      <b/>
      <i/>
      <sz val="11"/>
      <color theme="1"/>
      <name val="Aptos"/>
      <family val="2"/>
    </font>
    <font>
      <i/>
      <sz val="11"/>
      <color theme="1" tint="0.499984740745262"/>
      <name val="Aptos"/>
      <family val="2"/>
    </font>
    <font>
      <sz val="11"/>
      <color theme="1" tint="0.499984740745262"/>
      <name val="Aptos"/>
      <family val="2"/>
    </font>
    <font>
      <i/>
      <sz val="11"/>
      <color theme="0"/>
      <name val="Aptos"/>
      <family val="2"/>
    </font>
    <font>
      <sz val="11"/>
      <color theme="0"/>
      <name val="Aptos"/>
      <family val="2"/>
    </font>
  </fonts>
  <fills count="7">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9" fillId="0" borderId="0" applyNumberFormat="0" applyFill="0" applyBorder="0" applyAlignment="0" applyProtection="0"/>
  </cellStyleXfs>
  <cellXfs count="217">
    <xf numFmtId="0" fontId="0" fillId="0" borderId="0" xfId="0"/>
    <xf numFmtId="0" fontId="1" fillId="0" borderId="0" xfId="0" applyFont="1"/>
    <xf numFmtId="0" fontId="1" fillId="0" borderId="1" xfId="0" applyFont="1" applyBorder="1"/>
    <xf numFmtId="0" fontId="5" fillId="0" borderId="0" xfId="0" applyFont="1"/>
    <xf numFmtId="9" fontId="1" fillId="0" borderId="1" xfId="1" applyFont="1" applyBorder="1"/>
    <xf numFmtId="0" fontId="1" fillId="0" borderId="1" xfId="0" applyFont="1" applyBorder="1" applyAlignment="1">
      <alignment wrapText="1"/>
    </xf>
    <xf numFmtId="44" fontId="1" fillId="0" borderId="1" xfId="2" applyFont="1" applyBorder="1"/>
    <xf numFmtId="164" fontId="1" fillId="0" borderId="1" xfId="2" applyNumberFormat="1" applyFont="1" applyBorder="1"/>
    <xf numFmtId="0" fontId="1" fillId="0" borderId="1" xfId="1" applyNumberFormat="1" applyFont="1" applyBorder="1"/>
    <xf numFmtId="0" fontId="1" fillId="0" borderId="1" xfId="2" applyNumberFormat="1" applyFont="1" applyFill="1" applyBorder="1"/>
    <xf numFmtId="164" fontId="1" fillId="0" borderId="1" xfId="2" applyNumberFormat="1" applyFont="1" applyFill="1" applyBorder="1"/>
    <xf numFmtId="44" fontId="1" fillId="0" borderId="1" xfId="2" applyFont="1" applyFill="1" applyBorder="1"/>
    <xf numFmtId="0" fontId="1" fillId="3" borderId="1" xfId="0" applyFont="1" applyFill="1" applyBorder="1"/>
    <xf numFmtId="0" fontId="2" fillId="0" borderId="5" xfId="0" applyFont="1" applyBorder="1"/>
    <xf numFmtId="0" fontId="2" fillId="0" borderId="6" xfId="0" applyFont="1" applyBorder="1"/>
    <xf numFmtId="0" fontId="2" fillId="0" borderId="7" xfId="0" applyFont="1" applyBorder="1" applyAlignment="1">
      <alignment wrapText="1"/>
    </xf>
    <xf numFmtId="0" fontId="2" fillId="0" borderId="0" xfId="0" applyFont="1"/>
    <xf numFmtId="0" fontId="2" fillId="0" borderId="0" xfId="0" applyFont="1" applyAlignment="1">
      <alignment wrapText="1"/>
    </xf>
    <xf numFmtId="166" fontId="1" fillId="3" borderId="1" xfId="3" applyNumberFormat="1" applyFont="1" applyFill="1" applyBorder="1"/>
    <xf numFmtId="166" fontId="1" fillId="3" borderId="1" xfId="0" applyNumberFormat="1" applyFont="1" applyFill="1" applyBorder="1"/>
    <xf numFmtId="0" fontId="1" fillId="0" borderId="0" xfId="0" applyFont="1" applyAlignment="1">
      <alignment wrapText="1"/>
    </xf>
    <xf numFmtId="0" fontId="1" fillId="3" borderId="1" xfId="0" applyFont="1" applyFill="1" applyBorder="1" applyAlignment="1">
      <alignment wrapText="1"/>
    </xf>
    <xf numFmtId="164" fontId="1" fillId="3" borderId="1" xfId="2" applyNumberFormat="1" applyFont="1" applyFill="1" applyBorder="1"/>
    <xf numFmtId="0" fontId="1" fillId="0" borderId="1" xfId="0" applyFont="1" applyBorder="1" applyAlignment="1">
      <alignment horizontal="right"/>
    </xf>
    <xf numFmtId="164" fontId="1" fillId="3" borderId="1" xfId="0" applyNumberFormat="1" applyFont="1" applyFill="1" applyBorder="1"/>
    <xf numFmtId="166" fontId="1" fillId="0" borderId="1" xfId="3" applyNumberFormat="1" applyFont="1" applyFill="1" applyBorder="1"/>
    <xf numFmtId="43" fontId="1" fillId="0" borderId="0" xfId="0" applyNumberFormat="1" applyFont="1"/>
    <xf numFmtId="0" fontId="1" fillId="3" borderId="1" xfId="0" applyFont="1" applyFill="1" applyBorder="1" applyAlignment="1">
      <alignment horizontal="left"/>
    </xf>
    <xf numFmtId="168" fontId="1" fillId="0" borderId="1" xfId="1" applyNumberFormat="1" applyFont="1" applyBorder="1"/>
    <xf numFmtId="164" fontId="1" fillId="0" borderId="0" xfId="0" applyNumberFormat="1" applyFont="1"/>
    <xf numFmtId="9" fontId="1" fillId="3" borderId="1" xfId="1" applyFont="1" applyFill="1" applyBorder="1"/>
    <xf numFmtId="44" fontId="1" fillId="3" borderId="1" xfId="2" applyFont="1" applyFill="1" applyBorder="1"/>
    <xf numFmtId="165" fontId="1" fillId="3" borderId="1" xfId="3" applyNumberFormat="1" applyFont="1" applyFill="1" applyBorder="1"/>
    <xf numFmtId="0" fontId="2" fillId="3" borderId="1" xfId="0" applyFont="1" applyFill="1" applyBorder="1"/>
    <xf numFmtId="166" fontId="2" fillId="3" borderId="1" xfId="0" applyNumberFormat="1" applyFont="1" applyFill="1" applyBorder="1"/>
    <xf numFmtId="164" fontId="2" fillId="3" borderId="1" xfId="2" applyNumberFormat="1" applyFont="1" applyFill="1" applyBorder="1"/>
    <xf numFmtId="0" fontId="1" fillId="0" borderId="8" xfId="0" applyFont="1" applyBorder="1"/>
    <xf numFmtId="0" fontId="3" fillId="0" borderId="0" xfId="0" applyFont="1" applyAlignment="1">
      <alignment horizontal="left"/>
    </xf>
    <xf numFmtId="0" fontId="10" fillId="3" borderId="1" xfId="0" applyFont="1" applyFill="1" applyBorder="1" applyAlignment="1">
      <alignment wrapText="1"/>
    </xf>
    <xf numFmtId="167" fontId="1" fillId="3" borderId="1" xfId="0" applyNumberFormat="1" applyFont="1" applyFill="1" applyBorder="1"/>
    <xf numFmtId="0" fontId="13" fillId="3" borderId="1" xfId="0" applyFont="1" applyFill="1" applyBorder="1"/>
    <xf numFmtId="0" fontId="11" fillId="0" borderId="0" xfId="4" applyFont="1"/>
    <xf numFmtId="164" fontId="1" fillId="0" borderId="1" xfId="2" applyNumberFormat="1" applyFont="1" applyBorder="1" applyAlignment="1">
      <alignment horizontal="right"/>
    </xf>
    <xf numFmtId="9" fontId="1" fillId="0" borderId="1" xfId="1" applyFont="1" applyBorder="1" applyAlignment="1">
      <alignment horizontal="right"/>
    </xf>
    <xf numFmtId="168" fontId="1" fillId="0" borderId="1" xfId="1" applyNumberFormat="1" applyFont="1" applyBorder="1" applyAlignment="1">
      <alignment horizontal="right"/>
    </xf>
    <xf numFmtId="0" fontId="12" fillId="0" borderId="1" xfId="0" applyFont="1" applyBorder="1" applyAlignment="1">
      <alignment wrapText="1"/>
    </xf>
    <xf numFmtId="167" fontId="1" fillId="3" borderId="1" xfId="2" applyNumberFormat="1" applyFont="1" applyFill="1" applyBorder="1" applyAlignment="1">
      <alignment horizontal="left"/>
    </xf>
    <xf numFmtId="167" fontId="1" fillId="3" borderId="1" xfId="0" applyNumberFormat="1" applyFont="1" applyFill="1" applyBorder="1" applyAlignment="1">
      <alignment horizontal="left"/>
    </xf>
    <xf numFmtId="0" fontId="12" fillId="3" borderId="1" xfId="0" applyFont="1" applyFill="1" applyBorder="1" applyAlignment="1">
      <alignment wrapText="1"/>
    </xf>
    <xf numFmtId="166" fontId="1" fillId="0" borderId="1" xfId="3" applyNumberFormat="1" applyFont="1" applyBorder="1" applyAlignment="1">
      <alignment horizontal="right"/>
    </xf>
    <xf numFmtId="164" fontId="2" fillId="3" borderId="1" xfId="0" applyNumberFormat="1" applyFont="1" applyFill="1" applyBorder="1"/>
    <xf numFmtId="0" fontId="2" fillId="3" borderId="1" xfId="0" applyFont="1" applyFill="1" applyBorder="1" applyAlignment="1">
      <alignment wrapText="1"/>
    </xf>
    <xf numFmtId="0" fontId="12" fillId="3" borderId="1" xfId="0" applyFont="1" applyFill="1" applyBorder="1"/>
    <xf numFmtId="43" fontId="2" fillId="3" borderId="1" xfId="3" applyFont="1" applyFill="1" applyBorder="1"/>
    <xf numFmtId="169" fontId="1" fillId="3" borderId="1" xfId="2" applyNumberFormat="1" applyFont="1" applyFill="1" applyBorder="1"/>
    <xf numFmtId="9" fontId="1" fillId="0" borderId="1" xfId="1" applyFont="1" applyBorder="1" applyAlignment="1">
      <alignment wrapText="1"/>
    </xf>
    <xf numFmtId="44" fontId="1" fillId="0" borderId="1" xfId="2" applyFont="1" applyBorder="1" applyAlignment="1">
      <alignment wrapText="1"/>
    </xf>
    <xf numFmtId="166" fontId="1" fillId="0" borderId="1" xfId="3" applyNumberFormat="1" applyFont="1" applyBorder="1" applyAlignment="1">
      <alignment wrapText="1"/>
    </xf>
    <xf numFmtId="164" fontId="1" fillId="0" borderId="1" xfId="2" applyNumberFormat="1" applyFont="1" applyBorder="1" applyAlignment="1">
      <alignment wrapText="1"/>
    </xf>
    <xf numFmtId="0" fontId="14" fillId="0" borderId="1" xfId="0" applyFont="1" applyBorder="1"/>
    <xf numFmtId="0" fontId="4" fillId="0" borderId="0" xfId="0" applyFont="1"/>
    <xf numFmtId="165" fontId="1" fillId="3" borderId="1" xfId="0" applyNumberFormat="1" applyFont="1" applyFill="1" applyBorder="1"/>
    <xf numFmtId="0" fontId="8" fillId="0" borderId="17" xfId="0" applyFont="1" applyBorder="1"/>
    <xf numFmtId="0" fontId="1" fillId="0" borderId="0" xfId="0" applyFont="1" applyAlignment="1">
      <alignment horizontal="left" vertical="center" indent="1"/>
    </xf>
    <xf numFmtId="44" fontId="1" fillId="0" borderId="0" xfId="2" applyFont="1"/>
    <xf numFmtId="168" fontId="1" fillId="0" borderId="0" xfId="1" applyNumberFormat="1" applyFont="1"/>
    <xf numFmtId="0" fontId="9" fillId="0" borderId="0" xfId="4"/>
    <xf numFmtId="0" fontId="9" fillId="0" borderId="0" xfId="4" applyFill="1" applyAlignment="1">
      <alignment vertical="center"/>
    </xf>
    <xf numFmtId="0" fontId="9" fillId="0" borderId="0" xfId="4" applyBorder="1" applyAlignment="1">
      <alignment vertical="center"/>
    </xf>
    <xf numFmtId="0" fontId="12" fillId="0" borderId="1" xfId="0" applyFont="1" applyBorder="1"/>
    <xf numFmtId="44" fontId="14" fillId="0" borderId="1" xfId="2" applyFont="1" applyBorder="1"/>
    <xf numFmtId="164" fontId="2" fillId="0" borderId="0" xfId="2" applyNumberFormat="1" applyFont="1" applyFill="1" applyBorder="1"/>
    <xf numFmtId="0" fontId="10" fillId="3" borderId="1" xfId="0" applyFont="1" applyFill="1" applyBorder="1"/>
    <xf numFmtId="0" fontId="15" fillId="0" borderId="0" xfId="0" applyFont="1"/>
    <xf numFmtId="0" fontId="16" fillId="0" borderId="0" xfId="0" applyFont="1"/>
    <xf numFmtId="0" fontId="9" fillId="0" borderId="0" xfId="4" applyAlignment="1">
      <alignment vertical="center"/>
    </xf>
    <xf numFmtId="0" fontId="3" fillId="2" borderId="0" xfId="0" applyFont="1" applyFill="1"/>
    <xf numFmtId="0" fontId="2" fillId="0" borderId="1" xfId="0" applyFont="1" applyBorder="1" applyAlignment="1">
      <alignment wrapText="1"/>
    </xf>
    <xf numFmtId="0" fontId="1" fillId="0" borderId="1" xfId="2" applyNumberFormat="1" applyFont="1" applyBorder="1" applyAlignment="1">
      <alignment wrapText="1"/>
    </xf>
    <xf numFmtId="0" fontId="14" fillId="0" borderId="1" xfId="1" applyNumberFormat="1" applyFont="1" applyBorder="1"/>
    <xf numFmtId="169" fontId="1" fillId="0" borderId="1" xfId="2" applyNumberFormat="1" applyFont="1" applyBorder="1" applyAlignment="1">
      <alignment wrapText="1"/>
    </xf>
    <xf numFmtId="169" fontId="14" fillId="0" borderId="1" xfId="2" applyNumberFormat="1" applyFont="1" applyBorder="1"/>
    <xf numFmtId="44" fontId="2" fillId="0" borderId="0" xfId="2" applyFont="1"/>
    <xf numFmtId="0" fontId="2" fillId="0" borderId="1" xfId="0" applyFont="1" applyBorder="1"/>
    <xf numFmtId="44" fontId="1" fillId="0" borderId="1" xfId="0" applyNumberFormat="1" applyFont="1" applyBorder="1"/>
    <xf numFmtId="0" fontId="9" fillId="0" borderId="0" xfId="4" applyFill="1" applyBorder="1" applyAlignment="1">
      <alignment vertical="center"/>
    </xf>
    <xf numFmtId="0" fontId="1" fillId="0" borderId="0" xfId="0" quotePrefix="1" applyFont="1"/>
    <xf numFmtId="0" fontId="4" fillId="0" borderId="0" xfId="0" quotePrefix="1" applyFont="1"/>
    <xf numFmtId="9" fontId="2" fillId="0" borderId="0" xfId="0" applyNumberFormat="1" applyFont="1"/>
    <xf numFmtId="0" fontId="17" fillId="0" borderId="0" xfId="0" applyFont="1"/>
    <xf numFmtId="0" fontId="2" fillId="0" borderId="0" xfId="0" quotePrefix="1" applyFont="1"/>
    <xf numFmtId="166" fontId="1" fillId="0" borderId="1" xfId="3" applyNumberFormat="1" applyFont="1" applyBorder="1"/>
    <xf numFmtId="0" fontId="3" fillId="0" borderId="0" xfId="0" applyFont="1"/>
    <xf numFmtId="0" fontId="4" fillId="0" borderId="0" xfId="0" applyFont="1" applyAlignment="1">
      <alignment horizontal="left"/>
    </xf>
    <xf numFmtId="11" fontId="1" fillId="0" borderId="1" xfId="3" applyNumberFormat="1" applyFont="1" applyBorder="1"/>
    <xf numFmtId="0" fontId="1" fillId="3" borderId="1" xfId="2" applyNumberFormat="1" applyFont="1" applyFill="1" applyBorder="1"/>
    <xf numFmtId="11" fontId="1" fillId="3" borderId="1" xfId="2" applyNumberFormat="1" applyFont="1" applyFill="1" applyBorder="1"/>
    <xf numFmtId="11" fontId="1" fillId="3" borderId="1" xfId="0" applyNumberFormat="1" applyFont="1" applyFill="1" applyBorder="1"/>
    <xf numFmtId="0" fontId="14" fillId="3" borderId="1" xfId="0" applyFont="1" applyFill="1" applyBorder="1"/>
    <xf numFmtId="0" fontId="1" fillId="3" borderId="0" xfId="0" applyFont="1" applyFill="1"/>
    <xf numFmtId="44" fontId="14" fillId="0" borderId="1" xfId="2" applyFont="1" applyFill="1" applyBorder="1" applyAlignment="1">
      <alignment wrapText="1"/>
    </xf>
    <xf numFmtId="168" fontId="14" fillId="0" borderId="1" xfId="1" applyNumberFormat="1" applyFont="1" applyFill="1" applyBorder="1" applyAlignment="1">
      <alignment wrapText="1"/>
    </xf>
    <xf numFmtId="0" fontId="14" fillId="0" borderId="1" xfId="0" applyFont="1" applyBorder="1" applyAlignment="1">
      <alignment wrapText="1"/>
    </xf>
    <xf numFmtId="11" fontId="1" fillId="0" borderId="0" xfId="3" applyNumberFormat="1" applyFont="1"/>
    <xf numFmtId="0" fontId="9" fillId="0" borderId="0" xfId="4" applyFill="1"/>
    <xf numFmtId="0" fontId="4" fillId="0" borderId="0" xfId="2" applyNumberFormat="1" applyFont="1" applyFill="1"/>
    <xf numFmtId="44" fontId="1" fillId="0" borderId="0" xfId="2" applyFont="1" applyFill="1"/>
    <xf numFmtId="168" fontId="1" fillId="0" borderId="0" xfId="1" applyNumberFormat="1" applyFont="1" applyFill="1"/>
    <xf numFmtId="9" fontId="1" fillId="0" borderId="1" xfId="1" applyFont="1" applyFill="1" applyBorder="1"/>
    <xf numFmtId="168" fontId="1" fillId="0" borderId="1" xfId="1" applyNumberFormat="1" applyFont="1" applyFill="1" applyBorder="1"/>
    <xf numFmtId="0" fontId="0" fillId="0" borderId="1" xfId="0" applyBorder="1"/>
    <xf numFmtId="0" fontId="18" fillId="0" borderId="1" xfId="0" applyFont="1" applyBorder="1"/>
    <xf numFmtId="44" fontId="1" fillId="0" borderId="1" xfId="2" applyFont="1" applyBorder="1" applyAlignment="1">
      <alignment horizontal="right"/>
    </xf>
    <xf numFmtId="0" fontId="1" fillId="0" borderId="1" xfId="1" applyNumberFormat="1" applyFont="1" applyBorder="1" applyAlignment="1">
      <alignment horizontal="right"/>
    </xf>
    <xf numFmtId="0" fontId="1" fillId="0" borderId="8" xfId="0" applyFont="1" applyBorder="1" applyAlignment="1">
      <alignment wrapText="1"/>
    </xf>
    <xf numFmtId="43" fontId="2" fillId="3" borderId="1" xfId="0" applyNumberFormat="1" applyFont="1" applyFill="1" applyBorder="1"/>
    <xf numFmtId="165" fontId="14" fillId="0" borderId="1" xfId="3" applyNumberFormat="1" applyFont="1" applyFill="1" applyBorder="1"/>
    <xf numFmtId="0" fontId="7" fillId="2" borderId="0" xfId="0" applyFont="1" applyFill="1"/>
    <xf numFmtId="9" fontId="1" fillId="0" borderId="1" xfId="0" applyNumberFormat="1" applyFont="1" applyBorder="1" applyAlignment="1">
      <alignment horizontal="right"/>
    </xf>
    <xf numFmtId="0" fontId="3" fillId="2" borderId="2" xfId="0" applyFont="1" applyFill="1" applyBorder="1"/>
    <xf numFmtId="0" fontId="3" fillId="2" borderId="3" xfId="0" applyFont="1" applyFill="1" applyBorder="1"/>
    <xf numFmtId="0" fontId="3" fillId="2" borderId="4" xfId="0" applyFont="1" applyFill="1" applyBorder="1"/>
    <xf numFmtId="0" fontId="3" fillId="2" borderId="11" xfId="0" applyFont="1" applyFill="1" applyBorder="1"/>
    <xf numFmtId="0" fontId="3" fillId="2" borderId="12" xfId="0" applyFont="1" applyFill="1" applyBorder="1"/>
    <xf numFmtId="0" fontId="3" fillId="2" borderId="9" xfId="0" applyFont="1" applyFill="1" applyBorder="1"/>
    <xf numFmtId="44" fontId="1" fillId="0" borderId="8" xfId="2" applyFont="1" applyBorder="1"/>
    <xf numFmtId="167" fontId="2" fillId="0" borderId="0" xfId="2" applyNumberFormat="1" applyFont="1" applyFill="1" applyBorder="1"/>
    <xf numFmtId="14" fontId="1" fillId="0" borderId="0" xfId="0" applyNumberFormat="1" applyFont="1" applyAlignment="1">
      <alignment horizontal="right"/>
    </xf>
    <xf numFmtId="0" fontId="19" fillId="0" borderId="0" xfId="0" applyFont="1" applyAlignment="1">
      <alignment vertical="top"/>
    </xf>
    <xf numFmtId="0" fontId="19" fillId="0" borderId="0" xfId="0" applyFont="1" applyAlignment="1">
      <alignment horizontal="right" vertical="top"/>
    </xf>
    <xf numFmtId="0" fontId="2" fillId="6" borderId="1" xfId="0" applyFont="1" applyFill="1" applyBorder="1"/>
    <xf numFmtId="167" fontId="2" fillId="6" borderId="1" xfId="0" applyNumberFormat="1" applyFont="1" applyFill="1" applyBorder="1"/>
    <xf numFmtId="164" fontId="2" fillId="6" borderId="1" xfId="0" applyNumberFormat="1" applyFont="1" applyFill="1" applyBorder="1"/>
    <xf numFmtId="165" fontId="2" fillId="6" borderId="1" xfId="3" applyNumberFormat="1" applyFont="1" applyFill="1" applyBorder="1"/>
    <xf numFmtId="0" fontId="2" fillId="6" borderId="1" xfId="0" applyFont="1" applyFill="1" applyBorder="1" applyAlignment="1">
      <alignment wrapText="1"/>
    </xf>
    <xf numFmtId="0" fontId="20" fillId="5" borderId="0" xfId="0" applyFont="1" applyFill="1"/>
    <xf numFmtId="0" fontId="20" fillId="5" borderId="11" xfId="0" applyFont="1" applyFill="1" applyBorder="1"/>
    <xf numFmtId="0" fontId="20" fillId="5" borderId="12" xfId="0" applyFont="1" applyFill="1" applyBorder="1"/>
    <xf numFmtId="0" fontId="20" fillId="5" borderId="9" xfId="0" applyFont="1" applyFill="1" applyBorder="1"/>
    <xf numFmtId="164" fontId="1" fillId="0" borderId="0" xfId="2" applyNumberFormat="1" applyFont="1" applyFill="1" applyBorder="1"/>
    <xf numFmtId="166" fontId="1" fillId="3" borderId="1" xfId="1" applyNumberFormat="1" applyFont="1" applyFill="1" applyBorder="1"/>
    <xf numFmtId="0" fontId="2" fillId="3" borderId="10" xfId="0" applyFont="1" applyFill="1" applyBorder="1"/>
    <xf numFmtId="164" fontId="2" fillId="3" borderId="10" xfId="2" applyNumberFormat="1" applyFont="1" applyFill="1" applyBorder="1"/>
    <xf numFmtId="0" fontId="2" fillId="3" borderId="10" xfId="0" applyFont="1" applyFill="1" applyBorder="1" applyAlignment="1">
      <alignment wrapText="1"/>
    </xf>
    <xf numFmtId="2" fontId="1" fillId="3" borderId="1" xfId="0" applyNumberFormat="1" applyFont="1" applyFill="1" applyBorder="1"/>
    <xf numFmtId="44" fontId="1" fillId="0" borderId="0" xfId="0" applyNumberFormat="1" applyFont="1"/>
    <xf numFmtId="44" fontId="2" fillId="6" borderId="1" xfId="0" applyNumberFormat="1" applyFont="1" applyFill="1" applyBorder="1"/>
    <xf numFmtId="170" fontId="1" fillId="3" borderId="1" xfId="0" applyNumberFormat="1" applyFont="1" applyFill="1" applyBorder="1"/>
    <xf numFmtId="9" fontId="2" fillId="0" borderId="0" xfId="1" applyFont="1" applyFill="1" applyBorder="1"/>
    <xf numFmtId="0" fontId="0" fillId="0" borderId="0" xfId="0" applyAlignment="1">
      <alignment horizontal="left" vertical="center" indent="1"/>
    </xf>
    <xf numFmtId="0" fontId="8" fillId="0" borderId="0" xfId="0" applyFont="1"/>
    <xf numFmtId="0" fontId="8" fillId="0" borderId="0" xfId="0" applyFont="1" applyAlignment="1">
      <alignment horizontal="left" vertical="center" indent="1"/>
    </xf>
    <xf numFmtId="164" fontId="2" fillId="0" borderId="0" xfId="0" applyNumberFormat="1" applyFont="1"/>
    <xf numFmtId="167" fontId="2" fillId="0" borderId="0" xfId="0" applyNumberFormat="1" applyFont="1"/>
    <xf numFmtId="0" fontId="21" fillId="5" borderId="1" xfId="0" applyFont="1" applyFill="1" applyBorder="1"/>
    <xf numFmtId="0" fontId="21" fillId="5" borderId="1" xfId="0" applyFont="1" applyFill="1" applyBorder="1" applyAlignment="1">
      <alignment wrapText="1"/>
    </xf>
    <xf numFmtId="0" fontId="19" fillId="0" borderId="0" xfId="0" applyFont="1" applyAlignment="1">
      <alignment horizontal="left" vertical="top" wrapText="1"/>
    </xf>
    <xf numFmtId="0" fontId="2" fillId="0" borderId="13" xfId="0" applyFont="1" applyBorder="1"/>
    <xf numFmtId="0" fontId="3" fillId="2" borderId="8" xfId="0" applyFont="1" applyFill="1" applyBorder="1"/>
    <xf numFmtId="0" fontId="20" fillId="5" borderId="1" xfId="0" applyFont="1" applyFill="1" applyBorder="1"/>
    <xf numFmtId="0" fontId="1" fillId="0" borderId="1" xfId="0" applyFont="1" applyBorder="1"/>
    <xf numFmtId="0" fontId="1" fillId="3" borderId="1" xfId="0" applyFont="1" applyFill="1" applyBorder="1"/>
    <xf numFmtId="0" fontId="1" fillId="0" borderId="1" xfId="0" applyFont="1" applyBorder="1" applyAlignment="1">
      <alignment horizontal="left" wrapText="1"/>
    </xf>
    <xf numFmtId="0" fontId="1" fillId="0" borderId="1" xfId="0" applyFont="1" applyBorder="1" applyAlignment="1">
      <alignment wrapText="1"/>
    </xf>
    <xf numFmtId="0" fontId="2" fillId="6" borderId="1" xfId="0" applyFont="1" applyFill="1" applyBorder="1"/>
    <xf numFmtId="0" fontId="20" fillId="5" borderId="2" xfId="0" applyFont="1" applyFill="1" applyBorder="1" applyAlignment="1">
      <alignment horizontal="left"/>
    </xf>
    <xf numFmtId="0" fontId="20" fillId="5" borderId="3" xfId="0" applyFont="1" applyFill="1" applyBorder="1" applyAlignment="1">
      <alignment horizontal="left"/>
    </xf>
    <xf numFmtId="0" fontId="20" fillId="5" borderId="4" xfId="0" applyFont="1" applyFill="1" applyBorder="1" applyAlignment="1">
      <alignment horizontal="left"/>
    </xf>
    <xf numFmtId="0" fontId="20" fillId="5" borderId="11" xfId="0" applyFont="1" applyFill="1" applyBorder="1" applyAlignment="1">
      <alignment horizontal="left"/>
    </xf>
    <xf numFmtId="0" fontId="20" fillId="5" borderId="12" xfId="0" applyFont="1" applyFill="1" applyBorder="1" applyAlignment="1">
      <alignment horizontal="left"/>
    </xf>
    <xf numFmtId="0" fontId="20" fillId="5" borderId="9"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xf numFmtId="0" fontId="3" fillId="4" borderId="4" xfId="0" applyFont="1" applyFill="1" applyBorder="1" applyAlignment="1">
      <alignment horizontal="left"/>
    </xf>
    <xf numFmtId="0" fontId="20" fillId="5" borderId="1"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19" xfId="0" applyFont="1" applyFill="1" applyBorder="1" applyAlignment="1">
      <alignment horizontal="left"/>
    </xf>
    <xf numFmtId="0" fontId="3" fillId="2" borderId="13" xfId="0" applyFont="1" applyFill="1" applyBorder="1" applyAlignment="1">
      <alignment horizontal="left"/>
    </xf>
    <xf numFmtId="0" fontId="3" fillId="2" borderId="20" xfId="0" applyFont="1" applyFill="1" applyBorder="1" applyAlignment="1">
      <alignment horizontal="left"/>
    </xf>
    <xf numFmtId="0" fontId="3" fillId="2" borderId="1" xfId="0" applyFont="1" applyFill="1" applyBorder="1" applyAlignment="1">
      <alignment horizontal="left"/>
    </xf>
    <xf numFmtId="0" fontId="5" fillId="0" borderId="0" xfId="0" applyFont="1" applyAlignment="1">
      <alignment horizontal="left"/>
    </xf>
    <xf numFmtId="0" fontId="3" fillId="4" borderId="10" xfId="0" applyFont="1" applyFill="1" applyBorder="1" applyAlignment="1">
      <alignment horizontal="left"/>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2" borderId="9" xfId="0" applyFont="1" applyFill="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8" fillId="0" borderId="16" xfId="0" applyFont="1" applyBorder="1" applyAlignment="1">
      <alignment horizontal="left"/>
    </xf>
    <xf numFmtId="0" fontId="2"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applyAlignment="1">
      <alignment horizontal="left" wrapText="1"/>
    </xf>
    <xf numFmtId="0" fontId="2" fillId="0" borderId="2" xfId="0" applyFont="1" applyBorder="1"/>
    <xf numFmtId="0" fontId="2" fillId="0" borderId="4" xfId="0" applyFont="1" applyBorder="1"/>
    <xf numFmtId="0" fontId="2" fillId="0" borderId="3" xfId="0" applyFont="1" applyBorder="1"/>
    <xf numFmtId="0" fontId="2" fillId="0" borderId="1" xfId="0" applyFont="1" applyBorder="1" applyAlignment="1">
      <alignment wrapText="1"/>
    </xf>
    <xf numFmtId="9" fontId="1" fillId="0" borderId="1" xfId="1" applyFont="1" applyBorder="1"/>
    <xf numFmtId="0" fontId="2" fillId="0" borderId="1" xfId="0" applyFont="1" applyBorder="1" applyAlignment="1">
      <alignment horizontal="center" wrapText="1"/>
    </xf>
    <xf numFmtId="9" fontId="1" fillId="0" borderId="2" xfId="1" applyFont="1" applyBorder="1"/>
    <xf numFmtId="9" fontId="1" fillId="0" borderId="3" xfId="1" applyFont="1" applyBorder="1"/>
    <xf numFmtId="9" fontId="1" fillId="0" borderId="4" xfId="1" applyFont="1" applyBorder="1"/>
    <xf numFmtId="0" fontId="1" fillId="0" borderId="2" xfId="0" applyFont="1" applyBorder="1" applyAlignment="1">
      <alignment horizontal="left" wrapText="1"/>
    </xf>
    <xf numFmtId="0" fontId="1" fillId="0" borderId="4" xfId="0" applyFont="1" applyBorder="1" applyAlignment="1">
      <alignment horizontal="left" wrapText="1"/>
    </xf>
    <xf numFmtId="9" fontId="1" fillId="0" borderId="1" xfId="0" applyNumberFormat="1" applyFont="1" applyBorder="1"/>
    <xf numFmtId="0" fontId="1" fillId="0" borderId="3" xfId="0" applyFont="1" applyBorder="1" applyAlignment="1">
      <alignment horizontal="lef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0" fillId="5" borderId="18" xfId="0" applyFont="1" applyFill="1" applyBorder="1" applyAlignment="1">
      <alignment horizontal="left" wrapText="1"/>
    </xf>
    <xf numFmtId="0" fontId="20" fillId="5" borderId="0" xfId="0" applyFont="1" applyFill="1" applyAlignment="1">
      <alignment horizontal="left" wrapText="1"/>
    </xf>
    <xf numFmtId="0" fontId="14" fillId="0" borderId="1" xfId="0" applyFont="1" applyBorder="1" applyAlignment="1">
      <alignment wrapText="1"/>
    </xf>
  </cellXfs>
  <cellStyles count="5">
    <cellStyle name="Comma" xfId="3" builtinId="3"/>
    <cellStyle name="Currency" xfId="2" builtinId="4"/>
    <cellStyle name="Hyperlink" xfId="4" builtinId="8"/>
    <cellStyle name="Normal" xfId="0" builtinId="0"/>
    <cellStyle name="Percent" xfId="1" builtinId="5"/>
  </cellStyles>
  <dxfs count="117">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22-47C3-B38E-5951E114BAD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22-47C3-B38E-5951E114BADF}"/>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(Model!$B$83,Model!$B$85)</c:f>
              <c:strCache>
                <c:ptCount val="2"/>
                <c:pt idx="0">
                  <c:v>Compute CapEx</c:v>
                </c:pt>
                <c:pt idx="1">
                  <c:v>Deployment CapEx</c:v>
                </c:pt>
              </c:strCache>
            </c:strRef>
          </c:cat>
          <c:val>
            <c:numRef>
              <c:f>(Model!$C$83,Model!$C$85)</c:f>
              <c:numCache>
                <c:formatCode>_("$"* #,##0.0_);_("$"* \(#,##0.0\);_("$"* "-"??_);_(@_)</c:formatCode>
                <c:ptCount val="2"/>
                <c:pt idx="0">
                  <c:v>35.764705882352935</c:v>
                </c:pt>
                <c:pt idx="1">
                  <c:v>12</c:v>
                </c:pt>
              </c:numCache>
            </c:numRef>
          </c:val>
          <c:extLst>
            <c:ext xmlns:c16="http://schemas.microsoft.com/office/drawing/2014/chart" uri="{C3380CC4-5D6E-409C-BE32-E72D297353CC}">
              <c16:uniqueId val="{00000008-A222-47C3-B38E-5951E114BADF}"/>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Compute Performance and NPV of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2"/>
          <c:order val="2"/>
          <c:tx>
            <c:v>TDC Compute Performance</c:v>
          </c:tx>
          <c:spPr>
            <a:solidFill>
              <a:schemeClr val="accent3"/>
            </a:solidFill>
            <a:ln>
              <a:noFill/>
            </a:ln>
            <a:effectLst/>
          </c:spPr>
          <c:invertIfNegative val="0"/>
          <c:val>
            <c:numRef>
              <c:f>'Tabular Data for Plots'!$N$7:$N$26</c:f>
              <c:numCache>
                <c:formatCode>_(* #,##0.0_);_(* \(#,##0.0\);_(* "-"??_);_(@_)</c:formatCode>
                <c:ptCount val="20"/>
                <c:pt idx="0">
                  <c:v>517.38562091503263</c:v>
                </c:pt>
                <c:pt idx="1">
                  <c:v>1034.7712418300653</c:v>
                </c:pt>
                <c:pt idx="2">
                  <c:v>1552.1568627450979</c:v>
                </c:pt>
                <c:pt idx="3">
                  <c:v>1552.1568627450979</c:v>
                </c:pt>
                <c:pt idx="4">
                  <c:v>3492.3529411764703</c:v>
                </c:pt>
                <c:pt idx="5">
                  <c:v>3492.3529411764703</c:v>
                </c:pt>
                <c:pt idx="6">
                  <c:v>3492.3529411764703</c:v>
                </c:pt>
                <c:pt idx="7">
                  <c:v>3492.3529411764703</c:v>
                </c:pt>
                <c:pt idx="8">
                  <c:v>3492.3529411764703</c:v>
                </c:pt>
                <c:pt idx="9">
                  <c:v>7857.7941176470586</c:v>
                </c:pt>
                <c:pt idx="10">
                  <c:v>7857.7941176470586</c:v>
                </c:pt>
                <c:pt idx="11">
                  <c:v>7857.7941176470586</c:v>
                </c:pt>
                <c:pt idx="12">
                  <c:v>7857.7941176470586</c:v>
                </c:pt>
                <c:pt idx="13">
                  <c:v>7857.7941176470586</c:v>
                </c:pt>
                <c:pt idx="14">
                  <c:v>26520.055147058822</c:v>
                </c:pt>
                <c:pt idx="15">
                  <c:v>26520.055147058822</c:v>
                </c:pt>
                <c:pt idx="16">
                  <c:v>26520.055147058822</c:v>
                </c:pt>
                <c:pt idx="17">
                  <c:v>26520.055147058822</c:v>
                </c:pt>
                <c:pt idx="18">
                  <c:v>26520.055147058822</c:v>
                </c:pt>
                <c:pt idx="19">
                  <c:v>59670.12408088235</c:v>
                </c:pt>
              </c:numCache>
            </c:numRef>
          </c:val>
          <c:extLst>
            <c:ext xmlns:c16="http://schemas.microsoft.com/office/drawing/2014/chart" uri="{C3380CC4-5D6E-409C-BE32-E72D297353CC}">
              <c16:uniqueId val="{00000000-5EE2-40EB-9CB5-763919D856B2}"/>
            </c:ext>
          </c:extLst>
        </c:ser>
        <c:ser>
          <c:idx val="3"/>
          <c:order val="3"/>
          <c:tx>
            <c:v>ODC Compute Performance</c:v>
          </c:tx>
          <c:spPr>
            <a:solidFill>
              <a:schemeClr val="accent2"/>
            </a:solidFill>
            <a:ln>
              <a:noFill/>
            </a:ln>
            <a:effectLst/>
          </c:spPr>
          <c:invertIfNegative val="0"/>
          <c:val>
            <c:numRef>
              <c:f>'Tabular Data for Plots'!$Z$7:$Z$26</c:f>
              <c:numCache>
                <c:formatCode>_(* #,##0.0_);_(* \(#,##0.0\);_(* "-"??_);_(@_)</c:formatCode>
                <c:ptCount val="20"/>
                <c:pt idx="0">
                  <c:v>129.34640522875816</c:v>
                </c:pt>
                <c:pt idx="1">
                  <c:v>258.69281045751632</c:v>
                </c:pt>
                <c:pt idx="2">
                  <c:v>388.03921568627447</c:v>
                </c:pt>
                <c:pt idx="3">
                  <c:v>517.38562091503263</c:v>
                </c:pt>
                <c:pt idx="4">
                  <c:v>1455.1470588235293</c:v>
                </c:pt>
                <c:pt idx="5">
                  <c:v>1746.1764705882351</c:v>
                </c:pt>
                <c:pt idx="6">
                  <c:v>2037.205882352941</c:v>
                </c:pt>
                <c:pt idx="7">
                  <c:v>2328.2352941176468</c:v>
                </c:pt>
                <c:pt idx="8">
                  <c:v>2619.2647058823527</c:v>
                </c:pt>
                <c:pt idx="9">
                  <c:v>6548.161764705882</c:v>
                </c:pt>
                <c:pt idx="10">
                  <c:v>7202.9779411764694</c:v>
                </c:pt>
                <c:pt idx="11">
                  <c:v>7857.7941176470586</c:v>
                </c:pt>
                <c:pt idx="12">
                  <c:v>7857.7941176470586</c:v>
                </c:pt>
                <c:pt idx="13">
                  <c:v>7857.7941176470586</c:v>
                </c:pt>
                <c:pt idx="14">
                  <c:v>26520.055147058822</c:v>
                </c:pt>
                <c:pt idx="15">
                  <c:v>26520.055147058822</c:v>
                </c:pt>
                <c:pt idx="16">
                  <c:v>26520.055147058822</c:v>
                </c:pt>
                <c:pt idx="17">
                  <c:v>26520.055147058822</c:v>
                </c:pt>
                <c:pt idx="18">
                  <c:v>26520.055147058822</c:v>
                </c:pt>
                <c:pt idx="19">
                  <c:v>59670.12408088235</c:v>
                </c:pt>
              </c:numCache>
            </c:numRef>
          </c:val>
          <c:extLst>
            <c:ext xmlns:c16="http://schemas.microsoft.com/office/drawing/2014/chart" uri="{C3380CC4-5D6E-409C-BE32-E72D297353CC}">
              <c16:uniqueId val="{00000001-5EE2-40EB-9CB5-763919D856B2}"/>
            </c:ext>
          </c:extLst>
        </c:ser>
        <c:dLbls>
          <c:showLegendKey val="0"/>
          <c:showVal val="0"/>
          <c:showCatName val="0"/>
          <c:showSerName val="0"/>
          <c:showPercent val="0"/>
          <c:showBubbleSize val="0"/>
        </c:dLbls>
        <c:gapWidth val="150"/>
        <c:axId val="1004883711"/>
        <c:axId val="1004509727"/>
      </c:barChart>
      <c:lineChart>
        <c:grouping val="standard"/>
        <c:varyColors val="0"/>
        <c:ser>
          <c:idx val="0"/>
          <c:order val="0"/>
          <c:tx>
            <c:v>TDC Cumulative Cash Flow</c:v>
          </c:tx>
          <c:spPr>
            <a:ln w="28575" cap="rnd">
              <a:solidFill>
                <a:schemeClr val="accent4"/>
              </a:solidFill>
              <a:round/>
            </a:ln>
            <a:effectLst/>
          </c:spPr>
          <c:marker>
            <c:symbol val="none"/>
          </c:marker>
          <c:val>
            <c:numRef>
              <c:f>'Tabular Data for Plots'!$I$7:$I$26</c:f>
              <c:numCache>
                <c:formatCode>_("$"* #,##0.0_);_("$"* \(#,##0.0\);_("$"* "-"??_);_(@_)</c:formatCode>
                <c:ptCount val="20"/>
                <c:pt idx="0">
                  <c:v>18040333104.411114</c:v>
                </c:pt>
                <c:pt idx="1">
                  <c:v>36366785451.112244</c:v>
                </c:pt>
                <c:pt idx="2">
                  <c:v>54778241697.667107</c:v>
                </c:pt>
                <c:pt idx="3">
                  <c:v>59553819031.161026</c:v>
                </c:pt>
                <c:pt idx="4">
                  <c:v>63895252970.700951</c:v>
                </c:pt>
                <c:pt idx="5">
                  <c:v>67842011097.555428</c:v>
                </c:pt>
                <c:pt idx="6">
                  <c:v>71429973031.059494</c:v>
                </c:pt>
                <c:pt idx="7">
                  <c:v>74691756606.97229</c:v>
                </c:pt>
                <c:pt idx="8">
                  <c:v>77657014403.256653</c:v>
                </c:pt>
                <c:pt idx="9">
                  <c:v>80352703308.969696</c:v>
                </c:pt>
                <c:pt idx="10">
                  <c:v>82803329586.890656</c:v>
                </c:pt>
                <c:pt idx="11">
                  <c:v>85031171657.72789</c:v>
                </c:pt>
                <c:pt idx="12">
                  <c:v>87056482631.216278</c:v>
                </c:pt>
                <c:pt idx="13">
                  <c:v>88897674425.296631</c:v>
                </c:pt>
                <c:pt idx="14">
                  <c:v>90571485147.187866</c:v>
                </c:pt>
                <c:pt idx="15">
                  <c:v>92093131257.998077</c:v>
                </c:pt>
                <c:pt idx="16">
                  <c:v>93476445904.189178</c:v>
                </c:pt>
                <c:pt idx="17">
                  <c:v>94734004673.453812</c:v>
                </c:pt>
                <c:pt idx="18">
                  <c:v>95877239918.239853</c:v>
                </c:pt>
                <c:pt idx="19">
                  <c:v>96916544686.227158</c:v>
                </c:pt>
              </c:numCache>
            </c:numRef>
          </c:val>
          <c:smooth val="0"/>
          <c:extLst>
            <c:ext xmlns:c16="http://schemas.microsoft.com/office/drawing/2014/chart" uri="{C3380CC4-5D6E-409C-BE32-E72D297353CC}">
              <c16:uniqueId val="{00000002-5EE2-40EB-9CB5-763919D856B2}"/>
            </c:ext>
          </c:extLst>
        </c:ser>
        <c:ser>
          <c:idx val="1"/>
          <c:order val="1"/>
          <c:tx>
            <c:v>ODC Cumulative Cash Flow</c:v>
          </c:tx>
          <c:spPr>
            <a:ln w="28575" cap="rnd">
              <a:solidFill>
                <a:schemeClr val="accent6"/>
              </a:solidFill>
              <a:round/>
            </a:ln>
            <a:effectLst/>
          </c:spPr>
          <c:marker>
            <c:symbol val="none"/>
          </c:marker>
          <c:val>
            <c:numRef>
              <c:f>'Tabular Data for Plots'!$U$7:$U$26</c:f>
              <c:numCache>
                <c:formatCode>_("$"* #,##0.0_);_("$"* \(#,##0.0\);_("$"* "-"??_);_(@_)</c:formatCode>
                <c:ptCount val="20"/>
                <c:pt idx="0">
                  <c:v>22575621374.119183</c:v>
                </c:pt>
                <c:pt idx="1">
                  <c:v>45591535346.255142</c:v>
                </c:pt>
                <c:pt idx="2">
                  <c:v>68781113333.511276</c:v>
                </c:pt>
                <c:pt idx="3">
                  <c:v>91922565895.352219</c:v>
                </c:pt>
                <c:pt idx="4">
                  <c:v>114832993704.27283</c:v>
                </c:pt>
                <c:pt idx="5">
                  <c:v>137363149586.73927</c:v>
                </c:pt>
                <c:pt idx="6">
                  <c:v>159392831514.42981</c:v>
                </c:pt>
                <c:pt idx="7">
                  <c:v>180826835116.45691</c:v>
                </c:pt>
                <c:pt idx="8">
                  <c:v>201591402055.93546</c:v>
                </c:pt>
                <c:pt idx="9">
                  <c:v>221631107564.05588</c:v>
                </c:pt>
                <c:pt idx="10">
                  <c:v>240906136637.10248</c:v>
                </c:pt>
                <c:pt idx="11">
                  <c:v>259389903953.28601</c:v>
                </c:pt>
                <c:pt idx="12">
                  <c:v>269873688826.89233</c:v>
                </c:pt>
                <c:pt idx="13">
                  <c:v>279404402348.3526</c:v>
                </c:pt>
                <c:pt idx="14">
                  <c:v>288068687367.86194</c:v>
                </c:pt>
                <c:pt idx="15">
                  <c:v>295945310112.87042</c:v>
                </c:pt>
                <c:pt idx="16">
                  <c:v>303105876244.69635</c:v>
                </c:pt>
                <c:pt idx="17">
                  <c:v>309615481819.08356</c:v>
                </c:pt>
                <c:pt idx="18">
                  <c:v>315533305068.52643</c:v>
                </c:pt>
                <c:pt idx="19">
                  <c:v>320913144386.20178</c:v>
                </c:pt>
              </c:numCache>
            </c:numRef>
          </c:val>
          <c:smooth val="0"/>
          <c:extLst>
            <c:ext xmlns:c16="http://schemas.microsoft.com/office/drawing/2014/chart" uri="{C3380CC4-5D6E-409C-BE32-E72D297353CC}">
              <c16:uniqueId val="{00000003-5EE2-40EB-9CB5-763919D856B2}"/>
            </c:ext>
          </c:extLst>
        </c:ser>
        <c:dLbls>
          <c:showLegendKey val="0"/>
          <c:showVal val="0"/>
          <c:showCatName val="0"/>
          <c:showSerName val="0"/>
          <c:showPercent val="0"/>
          <c:showBubbleSize val="0"/>
        </c:dLbls>
        <c:marker val="1"/>
        <c:smooth val="0"/>
        <c:axId val="920132831"/>
        <c:axId val="927696383"/>
      </c:lineChart>
      <c:catAx>
        <c:axId val="92013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7696383"/>
        <c:crosses val="autoZero"/>
        <c:auto val="1"/>
        <c:lblAlgn val="ctr"/>
        <c:lblOffset val="100"/>
        <c:noMultiLvlLbl val="0"/>
      </c:catAx>
      <c:valAx>
        <c:axId val="927696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 Cash Burn [$NPV]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0132831"/>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valAx>
        <c:axId val="100450972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Compute Performance [EFLOPS]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 #,##0.0_);_(* \(#,##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004883711"/>
        <c:crosses val="max"/>
        <c:crossBetween val="between"/>
      </c:valAx>
      <c:catAx>
        <c:axId val="1004883711"/>
        <c:scaling>
          <c:orientation val="minMax"/>
        </c:scaling>
        <c:delete val="1"/>
        <c:axPos val="b"/>
        <c:majorTickMark val="out"/>
        <c:minorTickMark val="none"/>
        <c:tickLblPos val="nextTo"/>
        <c:crossAx val="10045097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vs. ODC Capital Efficiency Comparison</a:t>
            </a:r>
            <a:br>
              <a:rPr lang="en-US"/>
            </a:br>
            <a:r>
              <a:rPr lang="en-US"/>
              <a:t>Compute per Cumulative Dollar over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2"/>
          <c:order val="2"/>
          <c:tx>
            <c:v>ODC vs. TDC Efficiency Margin</c:v>
          </c:tx>
          <c:spPr>
            <a:solidFill>
              <a:schemeClr val="accent6"/>
            </a:solidFill>
            <a:ln>
              <a:noFill/>
            </a:ln>
            <a:effectLst/>
          </c:spPr>
          <c:invertIfNegative val="0"/>
          <c:val>
            <c:numRef>
              <c:f>'Tabular Data for Plots'!$AC$7:$AC$26</c:f>
              <c:numCache>
                <c:formatCode>0%</c:formatCode>
                <c:ptCount val="20"/>
                <c:pt idx="0">
                  <c:v>-0.80022329390795133</c:v>
                </c:pt>
                <c:pt idx="1">
                  <c:v>-0.80058367647132023</c:v>
                </c:pt>
                <c:pt idx="2">
                  <c:v>-0.80089649962463516</c:v>
                </c:pt>
                <c:pt idx="3">
                  <c:v>-0.78404352819103884</c:v>
                </c:pt>
                <c:pt idx="4">
                  <c:v>-0.76815877377814301</c:v>
                </c:pt>
                <c:pt idx="5">
                  <c:v>-0.75305600045696408</c:v>
                </c:pt>
                <c:pt idx="6">
                  <c:v>-0.73858620947864984</c:v>
                </c:pt>
                <c:pt idx="7">
                  <c:v>-0.72462878989957824</c:v>
                </c:pt>
                <c:pt idx="8">
                  <c:v>-0.71108509485795468</c:v>
                </c:pt>
                <c:pt idx="9">
                  <c:v>-0.6978737018157295</c:v>
                </c:pt>
                <c:pt idx="10">
                  <c:v>-0.68492686329673846</c:v>
                </c:pt>
                <c:pt idx="11">
                  <c:v>-0.67218781316546039</c:v>
                </c:pt>
                <c:pt idx="12">
                  <c:v>-0.67741767265404762</c:v>
                </c:pt>
                <c:pt idx="13">
                  <c:v>-0.68183151847957713</c:v>
                </c:pt>
                <c:pt idx="14">
                  <c:v>-0.68559066250915135</c:v>
                </c:pt>
                <c:pt idx="15">
                  <c:v>-0.68881706142640087</c:v>
                </c:pt>
                <c:pt idx="16">
                  <c:v>-0.69160463973081809</c:v>
                </c:pt>
                <c:pt idx="17">
                  <c:v>-0.69402691326395172</c:v>
                </c:pt>
                <c:pt idx="18">
                  <c:v>-0.69614225066536939</c:v>
                </c:pt>
                <c:pt idx="19">
                  <c:v>-0.69799758476208351</c:v>
                </c:pt>
              </c:numCache>
            </c:numRef>
          </c:val>
          <c:extLst>
            <c:ext xmlns:c16="http://schemas.microsoft.com/office/drawing/2014/chart" uri="{C3380CC4-5D6E-409C-BE32-E72D297353CC}">
              <c16:uniqueId val="{00000000-BEB3-46E9-BCE8-23AF58D3021E}"/>
            </c:ext>
          </c:extLst>
        </c:ser>
        <c:dLbls>
          <c:showLegendKey val="0"/>
          <c:showVal val="0"/>
          <c:showCatName val="0"/>
          <c:showSerName val="0"/>
          <c:showPercent val="0"/>
          <c:showBubbleSize val="0"/>
        </c:dLbls>
        <c:gapWidth val="150"/>
        <c:axId val="1273151824"/>
        <c:axId val="1273148944"/>
      </c:barChart>
      <c:lineChart>
        <c:grouping val="standard"/>
        <c:varyColors val="0"/>
        <c:ser>
          <c:idx val="0"/>
          <c:order val="0"/>
          <c:tx>
            <c:v>TDC Capital Efficiency</c:v>
          </c:tx>
          <c:spPr>
            <a:ln w="28575" cap="rnd">
              <a:solidFill>
                <a:schemeClr val="accent3"/>
              </a:solidFill>
              <a:round/>
            </a:ln>
            <a:effectLst/>
          </c:spPr>
          <c:marker>
            <c:symbol val="none"/>
          </c:marker>
          <c:val>
            <c:numRef>
              <c:f>'Tabular Data for Plots'!$O$7:$O$26</c:f>
              <c:numCache>
                <c:formatCode>_(* #,##0.0_);_(* \(#,##0.0\);_(* "-"??_);_(@_)</c:formatCode>
                <c:ptCount val="20"/>
                <c:pt idx="0">
                  <c:v>28.679382909427797</c:v>
                </c:pt>
                <c:pt idx="1">
                  <c:v>28.453745058691126</c:v>
                </c:pt>
                <c:pt idx="2">
                  <c:v>28.335280845847251</c:v>
                </c:pt>
                <c:pt idx="3">
                  <c:v>26.063095331181785</c:v>
                </c:pt>
                <c:pt idx="4">
                  <c:v>54.657471076574062</c:v>
                </c:pt>
                <c:pt idx="5">
                  <c:v>51.477733113697617</c:v>
                </c:pt>
                <c:pt idx="6">
                  <c:v>48.891981796743927</c:v>
                </c:pt>
                <c:pt idx="7">
                  <c:v>46.756872509415153</c:v>
                </c:pt>
                <c:pt idx="8">
                  <c:v>44.971506669589573</c:v>
                </c:pt>
                <c:pt idx="9">
                  <c:v>97.791285097559381</c:v>
                </c:pt>
                <c:pt idx="10">
                  <c:v>94.89707910116573</c:v>
                </c:pt>
                <c:pt idx="11">
                  <c:v>92.410747311311667</c:v>
                </c:pt>
                <c:pt idx="12">
                  <c:v>90.260872943073053</c:v>
                </c:pt>
                <c:pt idx="13">
                  <c:v>88.391447452882446</c:v>
                </c:pt>
                <c:pt idx="14">
                  <c:v>292.80799695357803</c:v>
                </c:pt>
                <c:pt idx="15">
                  <c:v>287.9699580717168</c:v>
                </c:pt>
                <c:pt idx="16">
                  <c:v>283.70842398352585</c:v>
                </c:pt>
                <c:pt idx="17">
                  <c:v>279.94229990036746</c:v>
                </c:pt>
                <c:pt idx="18">
                  <c:v>276.60428241023658</c:v>
                </c:pt>
                <c:pt idx="19">
                  <c:v>615.68563214947233</c:v>
                </c:pt>
              </c:numCache>
            </c:numRef>
          </c:val>
          <c:smooth val="0"/>
          <c:extLst>
            <c:ext xmlns:c16="http://schemas.microsoft.com/office/drawing/2014/chart" uri="{C3380CC4-5D6E-409C-BE32-E72D297353CC}">
              <c16:uniqueId val="{00000001-BEB3-46E9-BCE8-23AF58D3021E}"/>
            </c:ext>
          </c:extLst>
        </c:ser>
        <c:ser>
          <c:idx val="1"/>
          <c:order val="1"/>
          <c:tx>
            <c:v>ODC Capital Efficiency</c:v>
          </c:tx>
          <c:spPr>
            <a:ln w="28575" cap="rnd">
              <a:solidFill>
                <a:schemeClr val="accent2"/>
              </a:solidFill>
              <a:round/>
            </a:ln>
            <a:effectLst/>
          </c:spPr>
          <c:marker>
            <c:symbol val="none"/>
          </c:marker>
          <c:val>
            <c:numRef>
              <c:f>'Tabular Data for Plots'!$AA$7:$AA$26</c:f>
              <c:numCache>
                <c:formatCode>_(* #,##0.0_);_(* \(#,##0.0\);_(* "-"??_);_(@_)</c:formatCode>
                <c:ptCount val="20"/>
                <c:pt idx="0">
                  <c:v>5.7294726503980788</c:v>
                </c:pt>
                <c:pt idx="1">
                  <c:v>5.6741412302265264</c:v>
                </c:pt>
                <c:pt idx="2">
                  <c:v>5.6416536005272171</c:v>
                </c:pt>
                <c:pt idx="3">
                  <c:v>5.6284941121426266</c:v>
                </c:pt>
                <c:pt idx="4">
                  <c:v>12.671855116578614</c:v>
                </c:pt>
                <c:pt idx="5">
                  <c:v>12.712117302505469</c:v>
                </c:pt>
                <c:pt idx="6">
                  <c:v>12.781038287587688</c:v>
                </c:pt>
                <c:pt idx="7">
                  <c:v>12.875496563428797</c:v>
                </c:pt>
                <c:pt idx="8">
                  <c:v>12.992938583539326</c:v>
                </c:pt>
                <c:pt idx="9">
                  <c:v>29.545318961208235</c:v>
                </c:pt>
                <c:pt idx="10">
                  <c:v>29.899520376381822</c:v>
                </c:pt>
                <c:pt idx="11">
                  <c:v>30.293369163135132</c:v>
                </c:pt>
                <c:pt idx="12">
                  <c:v>29.116562462253807</c:v>
                </c:pt>
                <c:pt idx="13">
                  <c:v>28.123372615475859</c:v>
                </c:pt>
                <c:pt idx="14">
                  <c:v>92.061568334196892</c:v>
                </c:pt>
                <c:pt idx="15">
                  <c:v>89.611337773672957</c:v>
                </c:pt>
                <c:pt idx="16">
                  <c:v>87.494361625801247</c:v>
                </c:pt>
                <c:pt idx="17">
                  <c:v>85.654809608503953</c:v>
                </c:pt>
                <c:pt idx="18">
                  <c:v>84.048354709495044</c:v>
                </c:pt>
                <c:pt idx="19">
                  <c:v>185.93854793642404</c:v>
                </c:pt>
              </c:numCache>
            </c:numRef>
          </c:val>
          <c:smooth val="0"/>
          <c:extLst>
            <c:ext xmlns:c16="http://schemas.microsoft.com/office/drawing/2014/chart" uri="{C3380CC4-5D6E-409C-BE32-E72D297353CC}">
              <c16:uniqueId val="{00000002-BEB3-46E9-BCE8-23AF58D3021E}"/>
            </c:ext>
          </c:extLst>
        </c:ser>
        <c:dLbls>
          <c:showLegendKey val="0"/>
          <c:showVal val="0"/>
          <c:showCatName val="0"/>
          <c:showSerName val="0"/>
          <c:showPercent val="0"/>
          <c:showBubbleSize val="0"/>
        </c:dLbls>
        <c:marker val="1"/>
        <c:smooth val="0"/>
        <c:axId val="1133414384"/>
        <c:axId val="1133414864"/>
      </c:lineChart>
      <c:catAx>
        <c:axId val="11334143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133414864"/>
        <c:crosses val="autoZero"/>
        <c:auto val="1"/>
        <c:lblAlgn val="ctr"/>
        <c:lblOffset val="100"/>
        <c:noMultiLvlLbl val="0"/>
      </c:catAx>
      <c:valAx>
        <c:axId val="113341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Capital Efficiency [GLOPS per NPV of Cumulative $ Spent]</a:t>
                </a:r>
              </a:p>
            </c:rich>
          </c:tx>
          <c:layout>
            <c:manualLayout>
              <c:xMode val="edge"/>
              <c:yMode val="edge"/>
              <c:x val="1.8973445596734556E-2"/>
              <c:y val="0.1159042529100049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133414384"/>
        <c:crosses val="autoZero"/>
        <c:crossBetween val="between"/>
      </c:valAx>
      <c:valAx>
        <c:axId val="12731489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Efficiency relative to TDC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51824"/>
        <c:crosses val="max"/>
        <c:crossBetween val="between"/>
      </c:valAx>
      <c:catAx>
        <c:axId val="1273151824"/>
        <c:scaling>
          <c:orientation val="minMax"/>
        </c:scaling>
        <c:delete val="1"/>
        <c:axPos val="b"/>
        <c:majorTickMark val="out"/>
        <c:minorTickMark val="none"/>
        <c:tickLblPos val="nextTo"/>
        <c:crossAx val="1273148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4B-4671-B4A0-81BF986F7C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4B-4671-B4A0-81BF986F7C4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(Model!$B$83,Model!$B$85)</c:f>
              <c:strCache>
                <c:ptCount val="2"/>
                <c:pt idx="0">
                  <c:v>Compute CapEx</c:v>
                </c:pt>
                <c:pt idx="1">
                  <c:v>Deployment CapEx</c:v>
                </c:pt>
              </c:strCache>
            </c:strRef>
          </c:cat>
          <c:val>
            <c:numRef>
              <c:f>(Model!$D$83,Model!$D$85)</c:f>
              <c:numCache>
                <c:formatCode>_("$"* #,##0.0_);_("$"* \(#,##0.0\);_("$"* "-"??_);_(@_)</c:formatCode>
                <c:ptCount val="2"/>
                <c:pt idx="0">
                  <c:v>41.382198952879584</c:v>
                </c:pt>
                <c:pt idx="1">
                  <c:v>14.6</c:v>
                </c:pt>
              </c:numCache>
            </c:numRef>
          </c:val>
          <c:extLst>
            <c:ext xmlns:c16="http://schemas.microsoft.com/office/drawing/2014/chart" uri="{C3380CC4-5D6E-409C-BE32-E72D297353CC}">
              <c16:uniqueId val="{0000000C-0D01-4242-A914-F44129204DE1}"/>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cap="small" baseline="0"/>
              <a:t>Next Gen : CapEx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barChart>
        <c:barDir val="col"/>
        <c:grouping val="stacked"/>
        <c:varyColors val="0"/>
        <c:ser>
          <c:idx val="0"/>
          <c:order val="0"/>
          <c:tx>
            <c:strRef>
              <c:f>Model!$B$82</c:f>
              <c:strCache>
                <c:ptCount val="1"/>
                <c:pt idx="0">
                  <c:v>Power CapEx</c:v>
                </c:pt>
              </c:strCache>
            </c:strRef>
          </c:tx>
          <c:spPr>
            <a:solidFill>
              <a:schemeClr val="accent1"/>
            </a:solidFill>
            <a:ln>
              <a:noFill/>
            </a:ln>
            <a:effectLst/>
          </c:spPr>
          <c:invertIfNegative val="0"/>
          <c:cat>
            <c:strRef>
              <c:f>(Model!$B$2,Model!$I$2)</c:f>
              <c:strCache>
                <c:ptCount val="2"/>
                <c:pt idx="0">
                  <c:v>Terrestrial Data Center</c:v>
                </c:pt>
                <c:pt idx="1">
                  <c:v>Orbital Data Center</c:v>
                </c:pt>
              </c:strCache>
            </c:strRef>
          </c:cat>
          <c:val>
            <c:numRef>
              <c:f>(Model!$D$82,Model!$K$82)</c:f>
              <c:numCache>
                <c:formatCode>_("$"* #,##0.0_);_("$"* \(#,##0.0\);_("$"* "-"??_);_(@_)</c:formatCode>
                <c:ptCount val="2"/>
                <c:pt idx="1">
                  <c:v>29.62</c:v>
                </c:pt>
              </c:numCache>
            </c:numRef>
          </c:val>
          <c:extLst>
            <c:ext xmlns:c16="http://schemas.microsoft.com/office/drawing/2014/chart" uri="{C3380CC4-5D6E-409C-BE32-E72D297353CC}">
              <c16:uniqueId val="{00000000-1622-4641-9E3F-1A9EB165F726}"/>
            </c:ext>
          </c:extLst>
        </c:ser>
        <c:ser>
          <c:idx val="1"/>
          <c:order val="1"/>
          <c:tx>
            <c:strRef>
              <c:f>Model!$B$83</c:f>
              <c:strCache>
                <c:ptCount val="1"/>
                <c:pt idx="0">
                  <c:v>Compute CapEx</c:v>
                </c:pt>
              </c:strCache>
            </c:strRef>
          </c:tx>
          <c:spPr>
            <a:solidFill>
              <a:schemeClr val="accent2"/>
            </a:solidFill>
            <a:ln>
              <a:noFill/>
            </a:ln>
            <a:effectLst/>
          </c:spPr>
          <c:invertIfNegative val="0"/>
          <c:cat>
            <c:strRef>
              <c:f>(Model!$B$2,Model!$I$2)</c:f>
              <c:strCache>
                <c:ptCount val="2"/>
                <c:pt idx="0">
                  <c:v>Terrestrial Data Center</c:v>
                </c:pt>
                <c:pt idx="1">
                  <c:v>Orbital Data Center</c:v>
                </c:pt>
              </c:strCache>
            </c:strRef>
          </c:cat>
          <c:val>
            <c:numRef>
              <c:f>(Model!$D$83,Model!$K$83)</c:f>
              <c:numCache>
                <c:formatCode>_("$"* #,##0.0_);_("$"* \(#,##0.0\);_("$"* "-"??_);_(@_)</c:formatCode>
                <c:ptCount val="2"/>
                <c:pt idx="0">
                  <c:v>41.382198952879584</c:v>
                </c:pt>
                <c:pt idx="1">
                  <c:v>28.314136125654453</c:v>
                </c:pt>
              </c:numCache>
            </c:numRef>
          </c:val>
          <c:extLst>
            <c:ext xmlns:c16="http://schemas.microsoft.com/office/drawing/2014/chart" uri="{C3380CC4-5D6E-409C-BE32-E72D297353CC}">
              <c16:uniqueId val="{00000001-1622-4641-9E3F-1A9EB165F726}"/>
            </c:ext>
          </c:extLst>
        </c:ser>
        <c:ser>
          <c:idx val="2"/>
          <c:order val="2"/>
          <c:tx>
            <c:strRef>
              <c:f>Model!$B$84</c:f>
              <c:strCache>
                <c:ptCount val="1"/>
                <c:pt idx="0">
                  <c:v>Cooling CapEx</c:v>
                </c:pt>
              </c:strCache>
            </c:strRef>
          </c:tx>
          <c:spPr>
            <a:solidFill>
              <a:schemeClr val="accent3"/>
            </a:solidFill>
            <a:ln>
              <a:noFill/>
            </a:ln>
            <a:effectLst/>
          </c:spPr>
          <c:invertIfNegative val="0"/>
          <c:cat>
            <c:strRef>
              <c:f>(Model!$B$2,Model!$I$2)</c:f>
              <c:strCache>
                <c:ptCount val="2"/>
                <c:pt idx="0">
                  <c:v>Terrestrial Data Center</c:v>
                </c:pt>
                <c:pt idx="1">
                  <c:v>Orbital Data Center</c:v>
                </c:pt>
              </c:strCache>
            </c:strRef>
          </c:cat>
          <c:val>
            <c:numRef>
              <c:f>(Model!$D$84,Model!$K$84)</c:f>
              <c:numCache>
                <c:formatCode>_("$"* #,##0.0_);_("$"* \(#,##0.0\);_("$"* "-"??_);_(@_)</c:formatCode>
                <c:ptCount val="2"/>
                <c:pt idx="1">
                  <c:v>0.13706140394244276</c:v>
                </c:pt>
              </c:numCache>
            </c:numRef>
          </c:val>
          <c:extLst>
            <c:ext xmlns:c16="http://schemas.microsoft.com/office/drawing/2014/chart" uri="{C3380CC4-5D6E-409C-BE32-E72D297353CC}">
              <c16:uniqueId val="{00000002-1622-4641-9E3F-1A9EB165F726}"/>
            </c:ext>
          </c:extLst>
        </c:ser>
        <c:ser>
          <c:idx val="3"/>
          <c:order val="3"/>
          <c:tx>
            <c:strRef>
              <c:f>Model!$B$85</c:f>
              <c:strCache>
                <c:ptCount val="1"/>
                <c:pt idx="0">
                  <c:v>Deployment CapEx</c:v>
                </c:pt>
              </c:strCache>
            </c:strRef>
          </c:tx>
          <c:spPr>
            <a:solidFill>
              <a:schemeClr val="accent6"/>
            </a:solidFill>
            <a:ln>
              <a:noFill/>
            </a:ln>
            <a:effectLst/>
          </c:spPr>
          <c:invertIfNegative val="0"/>
          <c:cat>
            <c:strRef>
              <c:f>(Model!$B$2,Model!$I$2)</c:f>
              <c:strCache>
                <c:ptCount val="2"/>
                <c:pt idx="0">
                  <c:v>Terrestrial Data Center</c:v>
                </c:pt>
                <c:pt idx="1">
                  <c:v>Orbital Data Center</c:v>
                </c:pt>
              </c:strCache>
            </c:strRef>
          </c:cat>
          <c:val>
            <c:numRef>
              <c:f>(Model!$D$85,Model!$K$85)</c:f>
              <c:numCache>
                <c:formatCode>_("$"* #,##0.0_);_("$"* \(#,##0.0\);_("$"* "-"??_);_(@_)</c:formatCode>
                <c:ptCount val="2"/>
                <c:pt idx="0">
                  <c:v>14.6</c:v>
                </c:pt>
                <c:pt idx="1">
                  <c:v>31.563103918121477</c:v>
                </c:pt>
              </c:numCache>
            </c:numRef>
          </c:val>
          <c:extLst>
            <c:ext xmlns:c16="http://schemas.microsoft.com/office/drawing/2014/chart" uri="{C3380CC4-5D6E-409C-BE32-E72D297353CC}">
              <c16:uniqueId val="{00000003-1622-4641-9E3F-1A9EB165F726}"/>
            </c:ext>
          </c:extLst>
        </c:ser>
        <c:dLbls>
          <c:showLegendKey val="0"/>
          <c:showVal val="0"/>
          <c:showCatName val="0"/>
          <c:showSerName val="0"/>
          <c:showPercent val="0"/>
          <c:showBubbleSize val="0"/>
        </c:dLbls>
        <c:gapWidth val="150"/>
        <c:overlap val="100"/>
        <c:axId val="826054400"/>
        <c:axId val="826058240"/>
      </c:barChart>
      <c:catAx>
        <c:axId val="82605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8240"/>
        <c:crosses val="autoZero"/>
        <c:auto val="1"/>
        <c:lblAlgn val="ctr"/>
        <c:lblOffset val="100"/>
        <c:noMultiLvlLbl val="0"/>
      </c:catAx>
      <c:valAx>
        <c:axId val="826058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CapEx</a:t>
                </a:r>
                <a:r>
                  <a:rPr lang="en-US" baseline="0"/>
                  <a:t> [$B]</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numFmt formatCode="_(&quot;$&quot;* #,##0_);_(&quot;$&quot;* \(#,##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CapEx Breakdown Comparison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Model!$B$2</c:f>
              <c:strCache>
                <c:ptCount val="1"/>
                <c:pt idx="0">
                  <c:v>Terrestrial Data Center</c:v>
                </c:pt>
              </c:strCache>
            </c:strRef>
          </c:tx>
          <c:spPr>
            <a:solidFill>
              <a:schemeClr val="accent3"/>
            </a:solidFill>
            <a:ln>
              <a:noFill/>
            </a:ln>
            <a:effectLst/>
          </c:spPr>
          <c:invertIfNegative val="0"/>
          <c:cat>
            <c:strRef>
              <c:f>Model!$B$82:$B$85</c:f>
              <c:strCache>
                <c:ptCount val="4"/>
                <c:pt idx="0">
                  <c:v>Power CapEx</c:v>
                </c:pt>
                <c:pt idx="1">
                  <c:v>Compute CapEx</c:v>
                </c:pt>
                <c:pt idx="2">
                  <c:v>Cooling CapEx</c:v>
                </c:pt>
                <c:pt idx="3">
                  <c:v>Deployment CapEx</c:v>
                </c:pt>
              </c:strCache>
            </c:strRef>
          </c:cat>
          <c:val>
            <c:numRef>
              <c:f>Model!$D$82:$D$85</c:f>
              <c:numCache>
                <c:formatCode>_("$"* #,##0.0_);_("$"* \(#,##0.0\);_("$"* "-"??_);_(@_)</c:formatCode>
                <c:ptCount val="4"/>
                <c:pt idx="1">
                  <c:v>41.382198952879584</c:v>
                </c:pt>
                <c:pt idx="3">
                  <c:v>14.6</c:v>
                </c:pt>
              </c:numCache>
            </c:numRef>
          </c:val>
          <c:extLst>
            <c:ext xmlns:c16="http://schemas.microsoft.com/office/drawing/2014/chart" uri="{C3380CC4-5D6E-409C-BE32-E72D297353CC}">
              <c16:uniqueId val="{00000000-75E0-43BB-ADCF-1F1BA017C706}"/>
            </c:ext>
          </c:extLst>
        </c:ser>
        <c:ser>
          <c:idx val="1"/>
          <c:order val="1"/>
          <c:tx>
            <c:strRef>
              <c:f>Model!$I$2</c:f>
              <c:strCache>
                <c:ptCount val="1"/>
                <c:pt idx="0">
                  <c:v>Orbital Data Center</c:v>
                </c:pt>
              </c:strCache>
            </c:strRef>
          </c:tx>
          <c:spPr>
            <a:solidFill>
              <a:schemeClr val="accent2"/>
            </a:solidFill>
            <a:ln>
              <a:noFill/>
            </a:ln>
            <a:effectLst/>
          </c:spPr>
          <c:invertIfNegative val="0"/>
          <c:cat>
            <c:strRef>
              <c:f>Model!$B$82:$B$85</c:f>
              <c:strCache>
                <c:ptCount val="4"/>
                <c:pt idx="0">
                  <c:v>Power CapEx</c:v>
                </c:pt>
                <c:pt idx="1">
                  <c:v>Compute CapEx</c:v>
                </c:pt>
                <c:pt idx="2">
                  <c:v>Cooling CapEx</c:v>
                </c:pt>
                <c:pt idx="3">
                  <c:v>Deployment CapEx</c:v>
                </c:pt>
              </c:strCache>
            </c:strRef>
          </c:cat>
          <c:val>
            <c:numRef>
              <c:f>Model!$K$82:$K$85</c:f>
              <c:numCache>
                <c:formatCode>_("$"* #,##0.0_);_("$"* \(#,##0.0\);_("$"* "-"??_);_(@_)</c:formatCode>
                <c:ptCount val="4"/>
                <c:pt idx="0">
                  <c:v>29.62</c:v>
                </c:pt>
                <c:pt idx="1">
                  <c:v>28.314136125654453</c:v>
                </c:pt>
                <c:pt idx="2">
                  <c:v>0.13706140394244276</c:v>
                </c:pt>
                <c:pt idx="3">
                  <c:v>31.563103918121477</c:v>
                </c:pt>
              </c:numCache>
            </c:numRef>
          </c:val>
          <c:extLst>
            <c:ext xmlns:c16="http://schemas.microsoft.com/office/drawing/2014/chart" uri="{C3380CC4-5D6E-409C-BE32-E72D297353CC}">
              <c16:uniqueId val="{00000001-75E0-43BB-ADCF-1F1BA017C706}"/>
            </c:ext>
          </c:extLst>
        </c:ser>
        <c:dLbls>
          <c:showLegendKey val="0"/>
          <c:showVal val="0"/>
          <c:showCatName val="0"/>
          <c:showSerName val="0"/>
          <c:showPercent val="0"/>
          <c:showBubbleSize val="0"/>
        </c:dLbls>
        <c:gapWidth val="219"/>
        <c:overlap val="-27"/>
        <c:axId val="937065216"/>
        <c:axId val="937064256"/>
      </c:barChart>
      <c:catAx>
        <c:axId val="93706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37064256"/>
        <c:crosses val="autoZero"/>
        <c:auto val="1"/>
        <c:lblAlgn val="ctr"/>
        <c:lblOffset val="100"/>
        <c:noMultiLvlLbl val="0"/>
      </c:catAx>
      <c:valAx>
        <c:axId val="9370642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3706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67-462A-A43A-7AC8F344BB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67-462A-A43A-7AC8F344BB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67-462A-A43A-7AC8F344BB6B}"/>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D867-462A-A43A-7AC8F344BB6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Model!$B$82:$B$85</c:f>
              <c:strCache>
                <c:ptCount val="4"/>
                <c:pt idx="0">
                  <c:v>Power CapEx</c:v>
                </c:pt>
                <c:pt idx="1">
                  <c:v>Compute CapEx</c:v>
                </c:pt>
                <c:pt idx="2">
                  <c:v>Cooling CapEx</c:v>
                </c:pt>
                <c:pt idx="3">
                  <c:v>Deployment CapEx</c:v>
                </c:pt>
              </c:strCache>
            </c:strRef>
          </c:cat>
          <c:val>
            <c:numRef>
              <c:f>Model!$K$82:$K$85</c:f>
              <c:numCache>
                <c:formatCode>_("$"* #,##0.0_);_("$"* \(#,##0.0\);_("$"* "-"??_);_(@_)</c:formatCode>
                <c:ptCount val="4"/>
                <c:pt idx="0">
                  <c:v>29.62</c:v>
                </c:pt>
                <c:pt idx="1">
                  <c:v>28.314136125654453</c:v>
                </c:pt>
                <c:pt idx="2">
                  <c:v>0.13706140394244276</c:v>
                </c:pt>
                <c:pt idx="3">
                  <c:v>31.563103918121477</c:v>
                </c:pt>
              </c:numCache>
            </c:numRef>
          </c:val>
          <c:extLst>
            <c:ext xmlns:c16="http://schemas.microsoft.com/office/drawing/2014/chart" uri="{C3380CC4-5D6E-409C-BE32-E72D297353CC}">
              <c16:uniqueId val="{00000008-D867-462A-A43A-7AC8F344BB6B}"/>
            </c:ext>
          </c:extLst>
        </c:ser>
        <c:dLbls>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C7-4274-ABC7-5A70EAA30AB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C7-4274-ABC7-5A70EAA30AB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(Model!$B$83,Model!$B$85)</c:f>
              <c:strCache>
                <c:ptCount val="2"/>
                <c:pt idx="0">
                  <c:v>Compute CapEx</c:v>
                </c:pt>
                <c:pt idx="1">
                  <c:v>Deployment CapEx</c:v>
                </c:pt>
              </c:strCache>
            </c:strRef>
          </c:cat>
          <c:val>
            <c:numRef>
              <c:f>(Model!$E$83,Model!$E$85)</c:f>
              <c:numCache>
                <c:formatCode>_("$"* #,##0.0_);_("$"* \(#,##0.0\);_("$"* "-"??_);_(@_)</c:formatCode>
                <c:ptCount val="2"/>
                <c:pt idx="0">
                  <c:v>47.665505226480832</c:v>
                </c:pt>
                <c:pt idx="1">
                  <c:v>17.8</c:v>
                </c:pt>
              </c:numCache>
            </c:numRef>
          </c:val>
          <c:extLst>
            <c:ext xmlns:c16="http://schemas.microsoft.com/office/drawing/2014/chart" uri="{C3380CC4-5D6E-409C-BE32-E72D297353CC}">
              <c16:uniqueId val="{00000008-50C7-4274-ABC7-5A70EAA30AB5}"/>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cap="small" baseline="0"/>
              <a:t>Future Concept : CapEx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barChart>
        <c:barDir val="col"/>
        <c:grouping val="stacked"/>
        <c:varyColors val="0"/>
        <c:ser>
          <c:idx val="0"/>
          <c:order val="0"/>
          <c:tx>
            <c:strRef>
              <c:f>Model!$B$82</c:f>
              <c:strCache>
                <c:ptCount val="1"/>
                <c:pt idx="0">
                  <c:v>Power CapEx</c:v>
                </c:pt>
              </c:strCache>
            </c:strRef>
          </c:tx>
          <c:spPr>
            <a:solidFill>
              <a:schemeClr val="accent1"/>
            </a:solidFill>
            <a:ln>
              <a:noFill/>
            </a:ln>
            <a:effectLst/>
          </c:spPr>
          <c:invertIfNegative val="0"/>
          <c:cat>
            <c:strRef>
              <c:f>(Model!$B$2,Model!$I$2)</c:f>
              <c:strCache>
                <c:ptCount val="2"/>
                <c:pt idx="0">
                  <c:v>Terrestrial Data Center</c:v>
                </c:pt>
                <c:pt idx="1">
                  <c:v>Orbital Data Center</c:v>
                </c:pt>
              </c:strCache>
            </c:strRef>
          </c:cat>
          <c:val>
            <c:numRef>
              <c:f>(Model!$E$82,Model!$L$82)</c:f>
              <c:numCache>
                <c:formatCode>_("$"* #,##0.0_);_("$"* \(#,##0.0\);_("$"* "-"??_);_(@_)</c:formatCode>
                <c:ptCount val="2"/>
                <c:pt idx="1">
                  <c:v>15</c:v>
                </c:pt>
              </c:numCache>
            </c:numRef>
          </c:val>
          <c:extLst>
            <c:ext xmlns:c16="http://schemas.microsoft.com/office/drawing/2014/chart" uri="{C3380CC4-5D6E-409C-BE32-E72D297353CC}">
              <c16:uniqueId val="{00000000-0F95-490E-8F71-BFB8B90474AC}"/>
            </c:ext>
          </c:extLst>
        </c:ser>
        <c:ser>
          <c:idx val="1"/>
          <c:order val="1"/>
          <c:tx>
            <c:strRef>
              <c:f>Model!$B$83</c:f>
              <c:strCache>
                <c:ptCount val="1"/>
                <c:pt idx="0">
                  <c:v>Compute CapEx</c:v>
                </c:pt>
              </c:strCache>
            </c:strRef>
          </c:tx>
          <c:spPr>
            <a:solidFill>
              <a:schemeClr val="accent2"/>
            </a:solidFill>
            <a:ln>
              <a:noFill/>
            </a:ln>
            <a:effectLst/>
          </c:spPr>
          <c:invertIfNegative val="0"/>
          <c:cat>
            <c:strRef>
              <c:f>(Model!$B$2,Model!$I$2)</c:f>
              <c:strCache>
                <c:ptCount val="2"/>
                <c:pt idx="0">
                  <c:v>Terrestrial Data Center</c:v>
                </c:pt>
                <c:pt idx="1">
                  <c:v>Orbital Data Center</c:v>
                </c:pt>
              </c:strCache>
            </c:strRef>
          </c:cat>
          <c:val>
            <c:numRef>
              <c:f>(Model!$E$83,Model!$L$83)</c:f>
              <c:numCache>
                <c:formatCode>_("$"* #,##0.0_);_("$"* \(#,##0.0\);_("$"* "-"??_);_(@_)</c:formatCode>
                <c:ptCount val="2"/>
                <c:pt idx="0">
                  <c:v>47.665505226480832</c:v>
                </c:pt>
                <c:pt idx="1">
                  <c:v>32.613240418118465</c:v>
                </c:pt>
              </c:numCache>
            </c:numRef>
          </c:val>
          <c:extLst>
            <c:ext xmlns:c16="http://schemas.microsoft.com/office/drawing/2014/chart" uri="{C3380CC4-5D6E-409C-BE32-E72D297353CC}">
              <c16:uniqueId val="{00000001-0F95-490E-8F71-BFB8B90474AC}"/>
            </c:ext>
          </c:extLst>
        </c:ser>
        <c:ser>
          <c:idx val="2"/>
          <c:order val="2"/>
          <c:tx>
            <c:strRef>
              <c:f>Model!$B$84</c:f>
              <c:strCache>
                <c:ptCount val="1"/>
                <c:pt idx="0">
                  <c:v>Cooling CapEx</c:v>
                </c:pt>
              </c:strCache>
            </c:strRef>
          </c:tx>
          <c:spPr>
            <a:solidFill>
              <a:schemeClr val="accent3"/>
            </a:solidFill>
            <a:ln>
              <a:noFill/>
            </a:ln>
            <a:effectLst/>
          </c:spPr>
          <c:invertIfNegative val="0"/>
          <c:cat>
            <c:strRef>
              <c:f>(Model!$B$2,Model!$I$2)</c:f>
              <c:strCache>
                <c:ptCount val="2"/>
                <c:pt idx="0">
                  <c:v>Terrestrial Data Center</c:v>
                </c:pt>
                <c:pt idx="1">
                  <c:v>Orbital Data Center</c:v>
                </c:pt>
              </c:strCache>
            </c:strRef>
          </c:cat>
          <c:val>
            <c:numRef>
              <c:f>(Model!$F$84,Model!$L$84)</c:f>
              <c:numCache>
                <c:formatCode>_("$"* #,##0.0_);_("$"* \(#,##0.0\);_("$"* "-"??_);_(@_)</c:formatCode>
                <c:ptCount val="2"/>
                <c:pt idx="1">
                  <c:v>4.9455444708542344E-2</c:v>
                </c:pt>
              </c:numCache>
            </c:numRef>
          </c:val>
          <c:extLst>
            <c:ext xmlns:c16="http://schemas.microsoft.com/office/drawing/2014/chart" uri="{C3380CC4-5D6E-409C-BE32-E72D297353CC}">
              <c16:uniqueId val="{00000002-0F95-490E-8F71-BFB8B90474AC}"/>
            </c:ext>
          </c:extLst>
        </c:ser>
        <c:ser>
          <c:idx val="3"/>
          <c:order val="3"/>
          <c:tx>
            <c:strRef>
              <c:f>Model!$B$85</c:f>
              <c:strCache>
                <c:ptCount val="1"/>
                <c:pt idx="0">
                  <c:v>Deployment CapEx</c:v>
                </c:pt>
              </c:strCache>
            </c:strRef>
          </c:tx>
          <c:spPr>
            <a:solidFill>
              <a:schemeClr val="accent6"/>
            </a:solidFill>
            <a:ln>
              <a:noFill/>
            </a:ln>
            <a:effectLst/>
          </c:spPr>
          <c:invertIfNegative val="0"/>
          <c:cat>
            <c:strRef>
              <c:f>(Model!$B$2,Model!$I$2)</c:f>
              <c:strCache>
                <c:ptCount val="2"/>
                <c:pt idx="0">
                  <c:v>Terrestrial Data Center</c:v>
                </c:pt>
                <c:pt idx="1">
                  <c:v>Orbital Data Center</c:v>
                </c:pt>
              </c:strCache>
            </c:strRef>
          </c:cat>
          <c:val>
            <c:numRef>
              <c:f>(Model!$E$85,Model!$L$85)</c:f>
              <c:numCache>
                <c:formatCode>_("$"* #,##0.0_);_("$"* \(#,##0.0\);_("$"* "-"??_);_(@_)</c:formatCode>
                <c:ptCount val="2"/>
                <c:pt idx="0">
                  <c:v>17.8</c:v>
                </c:pt>
                <c:pt idx="1">
                  <c:v>12.340652815491648</c:v>
                </c:pt>
              </c:numCache>
            </c:numRef>
          </c:val>
          <c:extLst>
            <c:ext xmlns:c16="http://schemas.microsoft.com/office/drawing/2014/chart" uri="{C3380CC4-5D6E-409C-BE32-E72D297353CC}">
              <c16:uniqueId val="{00000003-0F95-490E-8F71-BFB8B90474AC}"/>
            </c:ext>
          </c:extLst>
        </c:ser>
        <c:dLbls>
          <c:showLegendKey val="0"/>
          <c:showVal val="0"/>
          <c:showCatName val="0"/>
          <c:showSerName val="0"/>
          <c:showPercent val="0"/>
          <c:showBubbleSize val="0"/>
        </c:dLbls>
        <c:gapWidth val="150"/>
        <c:overlap val="100"/>
        <c:axId val="826054400"/>
        <c:axId val="826058240"/>
      </c:barChart>
      <c:catAx>
        <c:axId val="82605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8240"/>
        <c:crosses val="autoZero"/>
        <c:auto val="1"/>
        <c:lblAlgn val="ctr"/>
        <c:lblOffset val="100"/>
        <c:noMultiLvlLbl val="0"/>
      </c:catAx>
      <c:valAx>
        <c:axId val="826058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CapEx</a:t>
                </a:r>
                <a:r>
                  <a:rPr lang="en-US" baseline="0"/>
                  <a:t> [$B]</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numFmt formatCode="_(&quot;$&quot;* #,##0_);_(&quot;$&quot;* \(#,##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CapEx Breakdown Comparison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Model!$B$2</c:f>
              <c:strCache>
                <c:ptCount val="1"/>
                <c:pt idx="0">
                  <c:v>Terrestrial Data Center</c:v>
                </c:pt>
              </c:strCache>
            </c:strRef>
          </c:tx>
          <c:spPr>
            <a:solidFill>
              <a:schemeClr val="accent3"/>
            </a:solidFill>
            <a:ln>
              <a:noFill/>
            </a:ln>
            <a:effectLst/>
          </c:spPr>
          <c:invertIfNegative val="0"/>
          <c:cat>
            <c:strRef>
              <c:f>Model!$B$82:$B$85</c:f>
              <c:strCache>
                <c:ptCount val="4"/>
                <c:pt idx="0">
                  <c:v>Power CapEx</c:v>
                </c:pt>
                <c:pt idx="1">
                  <c:v>Compute CapEx</c:v>
                </c:pt>
                <c:pt idx="2">
                  <c:v>Cooling CapEx</c:v>
                </c:pt>
                <c:pt idx="3">
                  <c:v>Deployment CapEx</c:v>
                </c:pt>
              </c:strCache>
            </c:strRef>
          </c:cat>
          <c:val>
            <c:numRef>
              <c:f>Model!$E$82:$E$85</c:f>
              <c:numCache>
                <c:formatCode>_("$"* #,##0.0_);_("$"* \(#,##0.0\);_("$"* "-"??_);_(@_)</c:formatCode>
                <c:ptCount val="4"/>
                <c:pt idx="1">
                  <c:v>47.665505226480832</c:v>
                </c:pt>
                <c:pt idx="3">
                  <c:v>17.8</c:v>
                </c:pt>
              </c:numCache>
            </c:numRef>
          </c:val>
          <c:extLst>
            <c:ext xmlns:c16="http://schemas.microsoft.com/office/drawing/2014/chart" uri="{C3380CC4-5D6E-409C-BE32-E72D297353CC}">
              <c16:uniqueId val="{00000000-D3AE-4372-9B7A-B1A98E4C0567}"/>
            </c:ext>
          </c:extLst>
        </c:ser>
        <c:ser>
          <c:idx val="1"/>
          <c:order val="1"/>
          <c:tx>
            <c:strRef>
              <c:f>Model!$I$2</c:f>
              <c:strCache>
                <c:ptCount val="1"/>
                <c:pt idx="0">
                  <c:v>Orbital Data Center</c:v>
                </c:pt>
              </c:strCache>
            </c:strRef>
          </c:tx>
          <c:spPr>
            <a:solidFill>
              <a:schemeClr val="accent2"/>
            </a:solidFill>
            <a:ln>
              <a:noFill/>
            </a:ln>
            <a:effectLst/>
          </c:spPr>
          <c:invertIfNegative val="0"/>
          <c:cat>
            <c:strRef>
              <c:f>Model!$B$82:$B$85</c:f>
              <c:strCache>
                <c:ptCount val="4"/>
                <c:pt idx="0">
                  <c:v>Power CapEx</c:v>
                </c:pt>
                <c:pt idx="1">
                  <c:v>Compute CapEx</c:v>
                </c:pt>
                <c:pt idx="2">
                  <c:v>Cooling CapEx</c:v>
                </c:pt>
                <c:pt idx="3">
                  <c:v>Deployment CapEx</c:v>
                </c:pt>
              </c:strCache>
            </c:strRef>
          </c:cat>
          <c:val>
            <c:numRef>
              <c:f>Model!$L$82:$L$85</c:f>
              <c:numCache>
                <c:formatCode>_("$"* #,##0.0_);_("$"* \(#,##0.0\);_("$"* "-"??_);_(@_)</c:formatCode>
                <c:ptCount val="4"/>
                <c:pt idx="0">
                  <c:v>15</c:v>
                </c:pt>
                <c:pt idx="1">
                  <c:v>32.613240418118465</c:v>
                </c:pt>
                <c:pt idx="2">
                  <c:v>4.9455444708542344E-2</c:v>
                </c:pt>
                <c:pt idx="3">
                  <c:v>12.340652815491648</c:v>
                </c:pt>
              </c:numCache>
            </c:numRef>
          </c:val>
          <c:extLst>
            <c:ext xmlns:c16="http://schemas.microsoft.com/office/drawing/2014/chart" uri="{C3380CC4-5D6E-409C-BE32-E72D297353CC}">
              <c16:uniqueId val="{00000001-D3AE-4372-9B7A-B1A98E4C0567}"/>
            </c:ext>
          </c:extLst>
        </c:ser>
        <c:dLbls>
          <c:showLegendKey val="0"/>
          <c:showVal val="0"/>
          <c:showCatName val="0"/>
          <c:showSerName val="0"/>
          <c:showPercent val="0"/>
          <c:showBubbleSize val="0"/>
        </c:dLbls>
        <c:gapWidth val="219"/>
        <c:overlap val="-27"/>
        <c:axId val="937065216"/>
        <c:axId val="937064256"/>
      </c:barChart>
      <c:catAx>
        <c:axId val="93706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37064256"/>
        <c:crosses val="autoZero"/>
        <c:auto val="1"/>
        <c:lblAlgn val="ctr"/>
        <c:lblOffset val="100"/>
        <c:noMultiLvlLbl val="0"/>
      </c:catAx>
      <c:valAx>
        <c:axId val="9370642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3706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8E-49A5-AD5F-22BA1A700F9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8E-49A5-AD5F-22BA1A700F9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8E-49A5-AD5F-22BA1A700F95}"/>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928E-49A5-AD5F-22BA1A700F9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Model!$B$82:$B$85</c:f>
              <c:strCache>
                <c:ptCount val="4"/>
                <c:pt idx="0">
                  <c:v>Power CapEx</c:v>
                </c:pt>
                <c:pt idx="1">
                  <c:v>Compute CapEx</c:v>
                </c:pt>
                <c:pt idx="2">
                  <c:v>Cooling CapEx</c:v>
                </c:pt>
                <c:pt idx="3">
                  <c:v>Deployment CapEx</c:v>
                </c:pt>
              </c:strCache>
            </c:strRef>
          </c:cat>
          <c:val>
            <c:numRef>
              <c:f>Model!$L$82:$L$85</c:f>
              <c:numCache>
                <c:formatCode>_("$"* #,##0.0_);_("$"* \(#,##0.0\);_("$"* "-"??_);_(@_)</c:formatCode>
                <c:ptCount val="4"/>
                <c:pt idx="0">
                  <c:v>15</c:v>
                </c:pt>
                <c:pt idx="1">
                  <c:v>32.613240418118465</c:v>
                </c:pt>
                <c:pt idx="2">
                  <c:v>4.9455444708542344E-2</c:v>
                </c:pt>
                <c:pt idx="3">
                  <c:v>12.340652815491648</c:v>
                </c:pt>
              </c:numCache>
            </c:numRef>
          </c:val>
          <c:extLst>
            <c:ext xmlns:c16="http://schemas.microsoft.com/office/drawing/2014/chart" uri="{C3380CC4-5D6E-409C-BE32-E72D297353CC}">
              <c16:uniqueId val="{00000008-928E-49A5-AD5F-22BA1A700F95}"/>
            </c:ext>
          </c:extLst>
        </c:ser>
        <c:dLbls>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OpEx Breakdown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CF-4BB5-9C64-0FC0945739E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CF-4BB5-9C64-0FC0945739E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9CF-4BB5-9C64-0FC0945739E3}"/>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D9CF-4BB5-9C64-0FC0945739E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Model!$B$88:$B$91</c:f>
              <c:strCache>
                <c:ptCount val="4"/>
                <c:pt idx="0">
                  <c:v>Power OpEx</c:v>
                </c:pt>
                <c:pt idx="1">
                  <c:v>Compute OpEx</c:v>
                </c:pt>
                <c:pt idx="2">
                  <c:v>Cooling OpEx</c:v>
                </c:pt>
                <c:pt idx="3">
                  <c:v>Deployment OpEx</c:v>
                </c:pt>
              </c:strCache>
            </c:strRef>
          </c:cat>
          <c:val>
            <c:numRef>
              <c:f>Model!$C$88:$C$91</c:f>
              <c:numCache>
                <c:formatCode>_("$"* #,##0_);_("$"* \(#,##0\);_("$"* "-"??_);_(@_)</c:formatCode>
                <c:ptCount val="4"/>
                <c:pt idx="0">
                  <c:v>546.62400000000002</c:v>
                </c:pt>
                <c:pt idx="1">
                  <c:v>548.25</c:v>
                </c:pt>
                <c:pt idx="2">
                  <c:v>25.537077939233818</c:v>
                </c:pt>
                <c:pt idx="3">
                  <c:v>5235.8823529411757</c:v>
                </c:pt>
              </c:numCache>
            </c:numRef>
          </c:val>
          <c:extLst>
            <c:ext xmlns:c16="http://schemas.microsoft.com/office/drawing/2014/chart" uri="{C3380CC4-5D6E-409C-BE32-E72D297353CC}">
              <c16:uniqueId val="{00000008-D9CF-4BB5-9C64-0FC0945739E3}"/>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CapEx Composition : Roadmap Progression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areaChart>
        <c:grouping val="stacked"/>
        <c:varyColors val="0"/>
        <c:ser>
          <c:idx val="0"/>
          <c:order val="0"/>
          <c:tx>
            <c:strRef>
              <c:f>Model!$B$82</c:f>
              <c:strCache>
                <c:ptCount val="1"/>
                <c:pt idx="0">
                  <c:v>Power CapEx</c:v>
                </c:pt>
              </c:strCache>
            </c:strRef>
          </c:tx>
          <c:spPr>
            <a:solidFill>
              <a:schemeClr val="accent1"/>
            </a:solidFill>
            <a:ln w="25400">
              <a:noFill/>
            </a:ln>
            <a:effectLst/>
          </c:spPr>
          <c:cat>
            <c:strRef>
              <c:f>Model!$C$4:$E$4</c:f>
              <c:strCache>
                <c:ptCount val="3"/>
                <c:pt idx="0">
                  <c:v>Tech Today</c:v>
                </c:pt>
                <c:pt idx="1">
                  <c:v>Next Gen</c:v>
                </c:pt>
                <c:pt idx="2">
                  <c:v>Future Concept</c:v>
                </c:pt>
              </c:strCache>
            </c:strRef>
          </c:cat>
          <c:val>
            <c:numRef>
              <c:f>Model!$C$82:$E$82</c:f>
              <c:numCache>
                <c:formatCode>_("$"* #,##0.0_);_("$"* \(#,##0.0\);_("$"* "-"??_);_(@_)</c:formatCode>
                <c:ptCount val="3"/>
              </c:numCache>
            </c:numRef>
          </c:val>
          <c:extLst>
            <c:ext xmlns:c16="http://schemas.microsoft.com/office/drawing/2014/chart" uri="{C3380CC4-5D6E-409C-BE32-E72D297353CC}">
              <c16:uniqueId val="{00000000-FCC1-4303-A680-55E254B2AFAA}"/>
            </c:ext>
          </c:extLst>
        </c:ser>
        <c:ser>
          <c:idx val="1"/>
          <c:order val="1"/>
          <c:tx>
            <c:strRef>
              <c:f>Model!$B$83</c:f>
              <c:strCache>
                <c:ptCount val="1"/>
                <c:pt idx="0">
                  <c:v>Compute CapEx</c:v>
                </c:pt>
              </c:strCache>
            </c:strRef>
          </c:tx>
          <c:spPr>
            <a:solidFill>
              <a:schemeClr val="accent2"/>
            </a:solidFill>
            <a:ln>
              <a:noFill/>
            </a:ln>
            <a:effectLst/>
          </c:spPr>
          <c:cat>
            <c:strRef>
              <c:f>Model!$C$4:$E$4</c:f>
              <c:strCache>
                <c:ptCount val="3"/>
                <c:pt idx="0">
                  <c:v>Tech Today</c:v>
                </c:pt>
                <c:pt idx="1">
                  <c:v>Next Gen</c:v>
                </c:pt>
                <c:pt idx="2">
                  <c:v>Future Concept</c:v>
                </c:pt>
              </c:strCache>
            </c:strRef>
          </c:cat>
          <c:val>
            <c:numRef>
              <c:f>Model!$C$83:$E$83</c:f>
              <c:numCache>
                <c:formatCode>_("$"* #,##0.0_);_("$"* \(#,##0.0\);_("$"* "-"??_);_(@_)</c:formatCode>
                <c:ptCount val="3"/>
                <c:pt idx="0">
                  <c:v>35.764705882352935</c:v>
                </c:pt>
                <c:pt idx="1">
                  <c:v>41.382198952879584</c:v>
                </c:pt>
                <c:pt idx="2">
                  <c:v>47.665505226480832</c:v>
                </c:pt>
              </c:numCache>
            </c:numRef>
          </c:val>
          <c:extLst>
            <c:ext xmlns:c16="http://schemas.microsoft.com/office/drawing/2014/chart" uri="{C3380CC4-5D6E-409C-BE32-E72D297353CC}">
              <c16:uniqueId val="{00000001-FCC1-4303-A680-55E254B2AFAA}"/>
            </c:ext>
          </c:extLst>
        </c:ser>
        <c:ser>
          <c:idx val="2"/>
          <c:order val="2"/>
          <c:tx>
            <c:strRef>
              <c:f>Model!$B$84</c:f>
              <c:strCache>
                <c:ptCount val="1"/>
                <c:pt idx="0">
                  <c:v>Cooling CapEx</c:v>
                </c:pt>
              </c:strCache>
            </c:strRef>
          </c:tx>
          <c:spPr>
            <a:solidFill>
              <a:schemeClr val="accent3"/>
            </a:solidFill>
            <a:ln w="25400">
              <a:noFill/>
            </a:ln>
            <a:effectLst/>
          </c:spPr>
          <c:cat>
            <c:strRef>
              <c:f>Model!$C$4:$E$4</c:f>
              <c:strCache>
                <c:ptCount val="3"/>
                <c:pt idx="0">
                  <c:v>Tech Today</c:v>
                </c:pt>
                <c:pt idx="1">
                  <c:v>Next Gen</c:v>
                </c:pt>
                <c:pt idx="2">
                  <c:v>Future Concept</c:v>
                </c:pt>
              </c:strCache>
            </c:strRef>
          </c:cat>
          <c:val>
            <c:numRef>
              <c:f>Model!$C$84:$E$84</c:f>
              <c:numCache>
                <c:formatCode>_("$"* #,##0.0_);_("$"* \(#,##0.0\);_("$"* "-"??_);_(@_)</c:formatCode>
                <c:ptCount val="3"/>
              </c:numCache>
            </c:numRef>
          </c:val>
          <c:extLst>
            <c:ext xmlns:c16="http://schemas.microsoft.com/office/drawing/2014/chart" uri="{C3380CC4-5D6E-409C-BE32-E72D297353CC}">
              <c16:uniqueId val="{00000002-FCC1-4303-A680-55E254B2AFAA}"/>
            </c:ext>
          </c:extLst>
        </c:ser>
        <c:ser>
          <c:idx val="3"/>
          <c:order val="3"/>
          <c:tx>
            <c:strRef>
              <c:f>Model!$B$85</c:f>
              <c:strCache>
                <c:ptCount val="1"/>
                <c:pt idx="0">
                  <c:v>Deployment CapEx</c:v>
                </c:pt>
              </c:strCache>
            </c:strRef>
          </c:tx>
          <c:spPr>
            <a:solidFill>
              <a:schemeClr val="accent6"/>
            </a:solidFill>
            <a:ln w="25400">
              <a:noFill/>
            </a:ln>
            <a:effectLst/>
          </c:spPr>
          <c:cat>
            <c:strRef>
              <c:f>Model!$C$4:$E$4</c:f>
              <c:strCache>
                <c:ptCount val="3"/>
                <c:pt idx="0">
                  <c:v>Tech Today</c:v>
                </c:pt>
                <c:pt idx="1">
                  <c:v>Next Gen</c:v>
                </c:pt>
                <c:pt idx="2">
                  <c:v>Future Concept</c:v>
                </c:pt>
              </c:strCache>
            </c:strRef>
          </c:cat>
          <c:val>
            <c:numRef>
              <c:f>Model!$C$85:$E$85</c:f>
              <c:numCache>
                <c:formatCode>_("$"* #,##0.0_);_("$"* \(#,##0.0\);_("$"* "-"??_);_(@_)</c:formatCode>
                <c:ptCount val="3"/>
                <c:pt idx="0">
                  <c:v>12</c:v>
                </c:pt>
                <c:pt idx="1">
                  <c:v>14.6</c:v>
                </c:pt>
                <c:pt idx="2">
                  <c:v>17.8</c:v>
                </c:pt>
              </c:numCache>
            </c:numRef>
          </c:val>
          <c:extLst>
            <c:ext xmlns:c16="http://schemas.microsoft.com/office/drawing/2014/chart" uri="{C3380CC4-5D6E-409C-BE32-E72D297353CC}">
              <c16:uniqueId val="{00000003-FCC1-4303-A680-55E254B2AFAA}"/>
            </c:ext>
          </c:extLst>
        </c:ser>
        <c:dLbls>
          <c:showLegendKey val="0"/>
          <c:showVal val="0"/>
          <c:showCatName val="0"/>
          <c:showSerName val="0"/>
          <c:showPercent val="0"/>
          <c:showBubbleSize val="0"/>
        </c:dLbls>
        <c:axId val="1565477104"/>
        <c:axId val="1556871712"/>
      </c:areaChart>
      <c:catAx>
        <c:axId val="15654771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Roadmap State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556871712"/>
        <c:crosses val="autoZero"/>
        <c:auto val="1"/>
        <c:lblAlgn val="ctr"/>
        <c:lblOffset val="100"/>
        <c:noMultiLvlLbl val="0"/>
      </c:catAx>
      <c:valAx>
        <c:axId val="1556871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CapEx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5654771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CapEx Composition : Roadmap Progression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areaChart>
        <c:grouping val="stacked"/>
        <c:varyColors val="0"/>
        <c:ser>
          <c:idx val="0"/>
          <c:order val="0"/>
          <c:tx>
            <c:strRef>
              <c:f>Model!$I$82</c:f>
              <c:strCache>
                <c:ptCount val="1"/>
                <c:pt idx="0">
                  <c:v>Power CapEx</c:v>
                </c:pt>
              </c:strCache>
            </c:strRef>
          </c:tx>
          <c:spPr>
            <a:solidFill>
              <a:schemeClr val="accent1"/>
            </a:solidFill>
            <a:ln w="25400">
              <a:noFill/>
            </a:ln>
            <a:effectLst/>
          </c:spPr>
          <c:cat>
            <c:strRef>
              <c:f>Model!$J$4:$L$4</c:f>
              <c:strCache>
                <c:ptCount val="3"/>
                <c:pt idx="0">
                  <c:v>Tech Today</c:v>
                </c:pt>
                <c:pt idx="1">
                  <c:v>Next Gen</c:v>
                </c:pt>
                <c:pt idx="2">
                  <c:v>Future Concept</c:v>
                </c:pt>
              </c:strCache>
            </c:strRef>
          </c:cat>
          <c:val>
            <c:numRef>
              <c:f>Model!$J$82:$L$82</c:f>
              <c:numCache>
                <c:formatCode>_("$"* #,##0.0_);_("$"* \(#,##0.0\);_("$"* "-"??_);_(@_)</c:formatCode>
                <c:ptCount val="3"/>
                <c:pt idx="0">
                  <c:v>50</c:v>
                </c:pt>
                <c:pt idx="1">
                  <c:v>29.62</c:v>
                </c:pt>
                <c:pt idx="2">
                  <c:v>15</c:v>
                </c:pt>
              </c:numCache>
            </c:numRef>
          </c:val>
          <c:extLst>
            <c:ext xmlns:c16="http://schemas.microsoft.com/office/drawing/2014/chart" uri="{C3380CC4-5D6E-409C-BE32-E72D297353CC}">
              <c16:uniqueId val="{00000000-7FE7-4201-81A5-D74F725BBF9F}"/>
            </c:ext>
          </c:extLst>
        </c:ser>
        <c:ser>
          <c:idx val="1"/>
          <c:order val="1"/>
          <c:tx>
            <c:strRef>
              <c:f>Model!$I$83</c:f>
              <c:strCache>
                <c:ptCount val="1"/>
                <c:pt idx="0">
                  <c:v>Compute CapEx</c:v>
                </c:pt>
              </c:strCache>
            </c:strRef>
          </c:tx>
          <c:spPr>
            <a:solidFill>
              <a:schemeClr val="accent2"/>
            </a:solidFill>
            <a:ln>
              <a:noFill/>
            </a:ln>
            <a:effectLst/>
          </c:spPr>
          <c:cat>
            <c:strRef>
              <c:f>Model!$J$4:$L$4</c:f>
              <c:strCache>
                <c:ptCount val="3"/>
                <c:pt idx="0">
                  <c:v>Tech Today</c:v>
                </c:pt>
                <c:pt idx="1">
                  <c:v>Next Gen</c:v>
                </c:pt>
                <c:pt idx="2">
                  <c:v>Future Concept</c:v>
                </c:pt>
              </c:strCache>
            </c:strRef>
          </c:cat>
          <c:val>
            <c:numRef>
              <c:f>Model!$J$83:$L$83</c:f>
              <c:numCache>
                <c:formatCode>_("$"* #,##0.0_);_("$"* \(#,##0.0\);_("$"* "-"??_);_(@_)</c:formatCode>
                <c:ptCount val="3"/>
                <c:pt idx="0">
                  <c:v>24.470588235294116</c:v>
                </c:pt>
                <c:pt idx="1">
                  <c:v>28.314136125654453</c:v>
                </c:pt>
                <c:pt idx="2">
                  <c:v>32.613240418118465</c:v>
                </c:pt>
              </c:numCache>
            </c:numRef>
          </c:val>
          <c:extLst>
            <c:ext xmlns:c16="http://schemas.microsoft.com/office/drawing/2014/chart" uri="{C3380CC4-5D6E-409C-BE32-E72D297353CC}">
              <c16:uniqueId val="{00000001-7FE7-4201-81A5-D74F725BBF9F}"/>
            </c:ext>
          </c:extLst>
        </c:ser>
        <c:ser>
          <c:idx val="2"/>
          <c:order val="2"/>
          <c:tx>
            <c:strRef>
              <c:f>Model!$I$84</c:f>
              <c:strCache>
                <c:ptCount val="1"/>
                <c:pt idx="0">
                  <c:v>Cooling CapEx</c:v>
                </c:pt>
              </c:strCache>
            </c:strRef>
          </c:tx>
          <c:spPr>
            <a:solidFill>
              <a:schemeClr val="accent3"/>
            </a:solidFill>
            <a:ln w="25400">
              <a:noFill/>
            </a:ln>
            <a:effectLst/>
          </c:spPr>
          <c:cat>
            <c:strRef>
              <c:f>Model!$J$4:$L$4</c:f>
              <c:strCache>
                <c:ptCount val="3"/>
                <c:pt idx="0">
                  <c:v>Tech Today</c:v>
                </c:pt>
                <c:pt idx="1">
                  <c:v>Next Gen</c:v>
                </c:pt>
                <c:pt idx="2">
                  <c:v>Future Concept</c:v>
                </c:pt>
              </c:strCache>
            </c:strRef>
          </c:cat>
          <c:val>
            <c:numRef>
              <c:f>Model!$J$84:$L$84</c:f>
              <c:numCache>
                <c:formatCode>_("$"* #,##0.0_);_("$"* \(#,##0.0\);_("$"* "-"??_);_(@_)</c:formatCode>
                <c:ptCount val="3"/>
                <c:pt idx="0">
                  <c:v>0.27122059754921701</c:v>
                </c:pt>
                <c:pt idx="1">
                  <c:v>0.13706140394244276</c:v>
                </c:pt>
                <c:pt idx="2">
                  <c:v>4.9455444708542344E-2</c:v>
                </c:pt>
              </c:numCache>
            </c:numRef>
          </c:val>
          <c:extLst>
            <c:ext xmlns:c16="http://schemas.microsoft.com/office/drawing/2014/chart" uri="{C3380CC4-5D6E-409C-BE32-E72D297353CC}">
              <c16:uniqueId val="{00000002-7FE7-4201-81A5-D74F725BBF9F}"/>
            </c:ext>
          </c:extLst>
        </c:ser>
        <c:ser>
          <c:idx val="3"/>
          <c:order val="3"/>
          <c:tx>
            <c:strRef>
              <c:f>Model!$I$85</c:f>
              <c:strCache>
                <c:ptCount val="1"/>
                <c:pt idx="0">
                  <c:v>Deployment CapEx</c:v>
                </c:pt>
              </c:strCache>
            </c:strRef>
          </c:tx>
          <c:spPr>
            <a:solidFill>
              <a:schemeClr val="accent6"/>
            </a:solidFill>
            <a:ln w="25400">
              <a:noFill/>
            </a:ln>
            <a:effectLst/>
          </c:spPr>
          <c:cat>
            <c:strRef>
              <c:f>Model!$J$4:$L$4</c:f>
              <c:strCache>
                <c:ptCount val="3"/>
                <c:pt idx="0">
                  <c:v>Tech Today</c:v>
                </c:pt>
                <c:pt idx="1">
                  <c:v>Next Gen</c:v>
                </c:pt>
                <c:pt idx="2">
                  <c:v>Future Concept</c:v>
                </c:pt>
              </c:strCache>
            </c:strRef>
          </c:cat>
          <c:val>
            <c:numRef>
              <c:f>Model!$J$85:$L$85</c:f>
              <c:numCache>
                <c:formatCode>_("$"* #,##0.0_);_("$"* \(#,##0.0\);_("$"* "-"??_);_(@_)</c:formatCode>
                <c:ptCount val="3"/>
                <c:pt idx="0">
                  <c:v>163.26303971382239</c:v>
                </c:pt>
                <c:pt idx="1">
                  <c:v>31.563103918121477</c:v>
                </c:pt>
                <c:pt idx="2">
                  <c:v>12.340652815491648</c:v>
                </c:pt>
              </c:numCache>
            </c:numRef>
          </c:val>
          <c:extLst>
            <c:ext xmlns:c16="http://schemas.microsoft.com/office/drawing/2014/chart" uri="{C3380CC4-5D6E-409C-BE32-E72D297353CC}">
              <c16:uniqueId val="{00000003-7FE7-4201-81A5-D74F725BBF9F}"/>
            </c:ext>
          </c:extLst>
        </c:ser>
        <c:dLbls>
          <c:showLegendKey val="0"/>
          <c:showVal val="0"/>
          <c:showCatName val="0"/>
          <c:showSerName val="0"/>
          <c:showPercent val="0"/>
          <c:showBubbleSize val="0"/>
        </c:dLbls>
        <c:axId val="1608648656"/>
        <c:axId val="1608636176"/>
      </c:areaChart>
      <c:catAx>
        <c:axId val="16086486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Roadmap State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608636176"/>
        <c:crosses val="autoZero"/>
        <c:auto val="1"/>
        <c:lblAlgn val="ctr"/>
        <c:lblOffset val="100"/>
        <c:noMultiLvlLbl val="0"/>
      </c:catAx>
      <c:valAx>
        <c:axId val="1608636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CapEx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60864865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CapEx Comparison : Roadmap Progression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v>TDC CapEx</c:v>
          </c:tx>
          <c:spPr>
            <a:solidFill>
              <a:schemeClr val="accent3"/>
            </a:solidFill>
            <a:ln>
              <a:noFill/>
            </a:ln>
            <a:effectLst/>
          </c:spPr>
          <c:invertIfNegative val="0"/>
          <c:cat>
            <c:strRef>
              <c:f>Model!$C$4:$E$4</c:f>
              <c:strCache>
                <c:ptCount val="3"/>
                <c:pt idx="0">
                  <c:v>Tech Today</c:v>
                </c:pt>
                <c:pt idx="1">
                  <c:v>Next Gen</c:v>
                </c:pt>
                <c:pt idx="2">
                  <c:v>Future Concept</c:v>
                </c:pt>
              </c:strCache>
            </c:strRef>
          </c:cat>
          <c:val>
            <c:numRef>
              <c:f>Model!$C$86:$E$86</c:f>
              <c:numCache>
                <c:formatCode>_("$"* #,##0.0_);_("$"* \(#,##0.0\);_("$"* "-"??_);_(@_)</c:formatCode>
                <c:ptCount val="3"/>
                <c:pt idx="0">
                  <c:v>47.764705882352935</c:v>
                </c:pt>
                <c:pt idx="1">
                  <c:v>55.982198952879585</c:v>
                </c:pt>
                <c:pt idx="2">
                  <c:v>65.465505226480829</c:v>
                </c:pt>
              </c:numCache>
            </c:numRef>
          </c:val>
          <c:extLst>
            <c:ext xmlns:c16="http://schemas.microsoft.com/office/drawing/2014/chart" uri="{C3380CC4-5D6E-409C-BE32-E72D297353CC}">
              <c16:uniqueId val="{00000000-7D94-4C80-A975-98283B2F5634}"/>
            </c:ext>
          </c:extLst>
        </c:ser>
        <c:ser>
          <c:idx val="1"/>
          <c:order val="1"/>
          <c:tx>
            <c:v>ODC CapEx</c:v>
          </c:tx>
          <c:spPr>
            <a:solidFill>
              <a:schemeClr val="accent2"/>
            </a:solidFill>
            <a:ln>
              <a:noFill/>
            </a:ln>
            <a:effectLst/>
          </c:spPr>
          <c:invertIfNegative val="0"/>
          <c:cat>
            <c:strRef>
              <c:f>Model!$C$4:$E$4</c:f>
              <c:strCache>
                <c:ptCount val="3"/>
                <c:pt idx="0">
                  <c:v>Tech Today</c:v>
                </c:pt>
                <c:pt idx="1">
                  <c:v>Next Gen</c:v>
                </c:pt>
                <c:pt idx="2">
                  <c:v>Future Concept</c:v>
                </c:pt>
              </c:strCache>
            </c:strRef>
          </c:cat>
          <c:val>
            <c:numRef>
              <c:f>Model!$J$86:$L$86</c:f>
              <c:numCache>
                <c:formatCode>_("$"* #,##0.0_);_("$"* \(#,##0.0\);_("$"* "-"??_);_(@_)</c:formatCode>
                <c:ptCount val="3"/>
                <c:pt idx="0">
                  <c:v>238.00484854666573</c:v>
                </c:pt>
                <c:pt idx="1">
                  <c:v>89.634301447718371</c:v>
                </c:pt>
                <c:pt idx="2">
                  <c:v>60.003348678318659</c:v>
                </c:pt>
              </c:numCache>
            </c:numRef>
          </c:val>
          <c:extLst>
            <c:ext xmlns:c16="http://schemas.microsoft.com/office/drawing/2014/chart" uri="{C3380CC4-5D6E-409C-BE32-E72D297353CC}">
              <c16:uniqueId val="{00000001-7D94-4C80-A975-98283B2F5634}"/>
            </c:ext>
          </c:extLst>
        </c:ser>
        <c:dLbls>
          <c:showLegendKey val="0"/>
          <c:showVal val="0"/>
          <c:showCatName val="0"/>
          <c:showSerName val="0"/>
          <c:showPercent val="0"/>
          <c:showBubbleSize val="0"/>
        </c:dLbls>
        <c:gapWidth val="219"/>
        <c:overlap val="-27"/>
        <c:axId val="1556869792"/>
        <c:axId val="1556866432"/>
      </c:barChart>
      <c:catAx>
        <c:axId val="1556869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Roadmap State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556866432"/>
        <c:crosses val="autoZero"/>
        <c:auto val="1"/>
        <c:lblAlgn val="ctr"/>
        <c:lblOffset val="100"/>
        <c:noMultiLvlLbl val="0"/>
      </c:catAx>
      <c:valAx>
        <c:axId val="1556866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CapEx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55686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OpEx Composition : Roadmap Progression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areaChart>
        <c:grouping val="stacked"/>
        <c:varyColors val="0"/>
        <c:ser>
          <c:idx val="0"/>
          <c:order val="0"/>
          <c:tx>
            <c:strRef>
              <c:f>Model!$B$88</c:f>
              <c:strCache>
                <c:ptCount val="1"/>
                <c:pt idx="0">
                  <c:v>Power OpEx</c:v>
                </c:pt>
              </c:strCache>
            </c:strRef>
          </c:tx>
          <c:spPr>
            <a:solidFill>
              <a:schemeClr val="accent1"/>
            </a:solidFill>
            <a:ln w="25400">
              <a:noFill/>
            </a:ln>
            <a:effectLst/>
          </c:spPr>
          <c:cat>
            <c:strRef>
              <c:f>Model!$C$4:$E$4</c:f>
              <c:strCache>
                <c:ptCount val="3"/>
                <c:pt idx="0">
                  <c:v>Tech Today</c:v>
                </c:pt>
                <c:pt idx="1">
                  <c:v>Next Gen</c:v>
                </c:pt>
                <c:pt idx="2">
                  <c:v>Future Concept</c:v>
                </c:pt>
              </c:strCache>
            </c:strRef>
          </c:cat>
          <c:val>
            <c:numRef>
              <c:f>Model!$C$88:$E$88</c:f>
              <c:numCache>
                <c:formatCode>_("$"* #,##0_);_("$"* \(#,##0\);_("$"* "-"??_);_(@_)</c:formatCode>
                <c:ptCount val="3"/>
                <c:pt idx="0">
                  <c:v>546.62400000000002</c:v>
                </c:pt>
                <c:pt idx="1">
                  <c:v>616.70399999999995</c:v>
                </c:pt>
                <c:pt idx="2">
                  <c:v>735.84</c:v>
                </c:pt>
              </c:numCache>
            </c:numRef>
          </c:val>
          <c:extLst>
            <c:ext xmlns:c16="http://schemas.microsoft.com/office/drawing/2014/chart" uri="{C3380CC4-5D6E-409C-BE32-E72D297353CC}">
              <c16:uniqueId val="{00000000-59C7-4DD6-AEE9-D1D6DAD64904}"/>
            </c:ext>
          </c:extLst>
        </c:ser>
        <c:ser>
          <c:idx val="1"/>
          <c:order val="1"/>
          <c:tx>
            <c:strRef>
              <c:f>Model!$B$89</c:f>
              <c:strCache>
                <c:ptCount val="1"/>
                <c:pt idx="0">
                  <c:v>Compute OpEx</c:v>
                </c:pt>
              </c:strCache>
            </c:strRef>
          </c:tx>
          <c:spPr>
            <a:solidFill>
              <a:schemeClr val="accent2"/>
            </a:solidFill>
            <a:ln w="25400">
              <a:noFill/>
            </a:ln>
            <a:effectLst/>
          </c:spPr>
          <c:cat>
            <c:strRef>
              <c:f>Model!$C$4:$E$4</c:f>
              <c:strCache>
                <c:ptCount val="3"/>
                <c:pt idx="0">
                  <c:v>Tech Today</c:v>
                </c:pt>
                <c:pt idx="1">
                  <c:v>Next Gen</c:v>
                </c:pt>
                <c:pt idx="2">
                  <c:v>Future Concept</c:v>
                </c:pt>
              </c:strCache>
            </c:strRef>
          </c:cat>
          <c:val>
            <c:numRef>
              <c:f>Model!$C$89:$E$89</c:f>
              <c:numCache>
                <c:formatCode>_("$"* #,##0_);_("$"* \(#,##0\);_("$"* "-"??_);_(@_)</c:formatCode>
                <c:ptCount val="3"/>
                <c:pt idx="0">
                  <c:v>548.25</c:v>
                </c:pt>
                <c:pt idx="1">
                  <c:v>577.77599999999995</c:v>
                </c:pt>
                <c:pt idx="2">
                  <c:v>610.83000000000004</c:v>
                </c:pt>
              </c:numCache>
            </c:numRef>
          </c:val>
          <c:extLst>
            <c:ext xmlns:c16="http://schemas.microsoft.com/office/drawing/2014/chart" uri="{C3380CC4-5D6E-409C-BE32-E72D297353CC}">
              <c16:uniqueId val="{00000001-59C7-4DD6-AEE9-D1D6DAD64904}"/>
            </c:ext>
          </c:extLst>
        </c:ser>
        <c:ser>
          <c:idx val="2"/>
          <c:order val="2"/>
          <c:tx>
            <c:strRef>
              <c:f>Model!$B$90</c:f>
              <c:strCache>
                <c:ptCount val="1"/>
                <c:pt idx="0">
                  <c:v>Cooling OpEx</c:v>
                </c:pt>
              </c:strCache>
            </c:strRef>
          </c:tx>
          <c:spPr>
            <a:solidFill>
              <a:schemeClr val="accent3"/>
            </a:solidFill>
            <a:ln w="25400">
              <a:noFill/>
            </a:ln>
            <a:effectLst/>
          </c:spPr>
          <c:cat>
            <c:strRef>
              <c:f>Model!$C$4:$E$4</c:f>
              <c:strCache>
                <c:ptCount val="3"/>
                <c:pt idx="0">
                  <c:v>Tech Today</c:v>
                </c:pt>
                <c:pt idx="1">
                  <c:v>Next Gen</c:v>
                </c:pt>
                <c:pt idx="2">
                  <c:v>Future Concept</c:v>
                </c:pt>
              </c:strCache>
            </c:strRef>
          </c:cat>
          <c:val>
            <c:numRef>
              <c:f>Model!$C$90:$E$90</c:f>
              <c:numCache>
                <c:formatCode>_("$"* #,##0_);_("$"* \(#,##0\);_("$"* "-"??_);_(@_)</c:formatCode>
                <c:ptCount val="3"/>
                <c:pt idx="0">
                  <c:v>25.537077939233818</c:v>
                </c:pt>
                <c:pt idx="1">
                  <c:v>3.2910752972258921</c:v>
                </c:pt>
                <c:pt idx="2">
                  <c:v>0</c:v>
                </c:pt>
              </c:numCache>
            </c:numRef>
          </c:val>
          <c:extLst>
            <c:ext xmlns:c16="http://schemas.microsoft.com/office/drawing/2014/chart" uri="{C3380CC4-5D6E-409C-BE32-E72D297353CC}">
              <c16:uniqueId val="{00000002-59C7-4DD6-AEE9-D1D6DAD64904}"/>
            </c:ext>
          </c:extLst>
        </c:ser>
        <c:ser>
          <c:idx val="3"/>
          <c:order val="3"/>
          <c:tx>
            <c:strRef>
              <c:f>Model!$B$91</c:f>
              <c:strCache>
                <c:ptCount val="1"/>
                <c:pt idx="0">
                  <c:v>Deployment OpEx</c:v>
                </c:pt>
              </c:strCache>
            </c:strRef>
          </c:tx>
          <c:spPr>
            <a:solidFill>
              <a:schemeClr val="accent6"/>
            </a:solidFill>
            <a:ln w="25400">
              <a:noFill/>
            </a:ln>
            <a:effectLst/>
          </c:spPr>
          <c:cat>
            <c:strRef>
              <c:f>Model!$C$4:$E$4</c:f>
              <c:strCache>
                <c:ptCount val="3"/>
                <c:pt idx="0">
                  <c:v>Tech Today</c:v>
                </c:pt>
                <c:pt idx="1">
                  <c:v>Next Gen</c:v>
                </c:pt>
                <c:pt idx="2">
                  <c:v>Future Concept</c:v>
                </c:pt>
              </c:strCache>
            </c:strRef>
          </c:cat>
          <c:val>
            <c:numRef>
              <c:f>Model!$C$91:$E$91</c:f>
              <c:numCache>
                <c:formatCode>_("$"* #,##0_);_("$"* \(#,##0\);_("$"* "-"??_);_(@_)</c:formatCode>
                <c:ptCount val="3"/>
                <c:pt idx="0">
                  <c:v>5235.8823529411757</c:v>
                </c:pt>
                <c:pt idx="1">
                  <c:v>6021.9940436354709</c:v>
                </c:pt>
                <c:pt idx="2">
                  <c:v>6908.689090036486</c:v>
                </c:pt>
              </c:numCache>
            </c:numRef>
          </c:val>
          <c:extLst>
            <c:ext xmlns:c16="http://schemas.microsoft.com/office/drawing/2014/chart" uri="{C3380CC4-5D6E-409C-BE32-E72D297353CC}">
              <c16:uniqueId val="{00000003-59C7-4DD6-AEE9-D1D6DAD64904}"/>
            </c:ext>
          </c:extLst>
        </c:ser>
        <c:dLbls>
          <c:showLegendKey val="0"/>
          <c:showVal val="0"/>
          <c:showCatName val="0"/>
          <c:showSerName val="0"/>
          <c:showPercent val="0"/>
          <c:showBubbleSize val="0"/>
        </c:dLbls>
        <c:axId val="1669940832"/>
        <c:axId val="1669949952"/>
      </c:areaChart>
      <c:catAx>
        <c:axId val="16699408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Roadmap State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669949952"/>
        <c:crosses val="autoZero"/>
        <c:auto val="1"/>
        <c:lblAlgn val="ctr"/>
        <c:lblOffset val="100"/>
        <c:noMultiLvlLbl val="0"/>
      </c:catAx>
      <c:valAx>
        <c:axId val="1669949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OpEx [$M/year]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66994083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OpEx Composition : Roadmap Progression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areaChart>
        <c:grouping val="stacked"/>
        <c:varyColors val="0"/>
        <c:ser>
          <c:idx val="0"/>
          <c:order val="0"/>
          <c:tx>
            <c:strRef>
              <c:f>Model!$I$88</c:f>
              <c:strCache>
                <c:ptCount val="1"/>
                <c:pt idx="0">
                  <c:v>Power OpEx</c:v>
                </c:pt>
              </c:strCache>
            </c:strRef>
          </c:tx>
          <c:spPr>
            <a:solidFill>
              <a:schemeClr val="accent1"/>
            </a:solidFill>
            <a:ln w="25400">
              <a:noFill/>
            </a:ln>
            <a:effectLst/>
          </c:spPr>
          <c:cat>
            <c:strRef>
              <c:f>Model!$J$4:$L$4</c:f>
              <c:strCache>
                <c:ptCount val="3"/>
                <c:pt idx="0">
                  <c:v>Tech Today</c:v>
                </c:pt>
                <c:pt idx="1">
                  <c:v>Next Gen</c:v>
                </c:pt>
                <c:pt idx="2">
                  <c:v>Future Concept</c:v>
                </c:pt>
              </c:strCache>
            </c:strRef>
          </c:cat>
          <c:val>
            <c:numRef>
              <c:f>Model!$J$88:$L$88</c:f>
              <c:numCache>
                <c:formatCode>_("$"* #,##0_);_("$"* \(#,##0\);_("$"* "-"??_);_(@_)</c:formatCode>
                <c:ptCount val="3"/>
                <c:pt idx="0">
                  <c:v>0</c:v>
                </c:pt>
                <c:pt idx="1">
                  <c:v>0</c:v>
                </c:pt>
                <c:pt idx="2">
                  <c:v>0</c:v>
                </c:pt>
              </c:numCache>
            </c:numRef>
          </c:val>
          <c:extLst>
            <c:ext xmlns:c16="http://schemas.microsoft.com/office/drawing/2014/chart" uri="{C3380CC4-5D6E-409C-BE32-E72D297353CC}">
              <c16:uniqueId val="{00000000-CD1C-40A3-A2DD-FDAAC102CFEC}"/>
            </c:ext>
          </c:extLst>
        </c:ser>
        <c:ser>
          <c:idx val="1"/>
          <c:order val="1"/>
          <c:tx>
            <c:strRef>
              <c:f>Model!$I$89</c:f>
              <c:strCache>
                <c:ptCount val="1"/>
                <c:pt idx="0">
                  <c:v>Compute OpEx</c:v>
                </c:pt>
              </c:strCache>
            </c:strRef>
          </c:tx>
          <c:spPr>
            <a:solidFill>
              <a:schemeClr val="accent2"/>
            </a:solidFill>
            <a:ln w="25400">
              <a:noFill/>
            </a:ln>
            <a:effectLst/>
          </c:spPr>
          <c:cat>
            <c:strRef>
              <c:f>Model!$J$4:$L$4</c:f>
              <c:strCache>
                <c:ptCount val="3"/>
                <c:pt idx="0">
                  <c:v>Tech Today</c:v>
                </c:pt>
                <c:pt idx="1">
                  <c:v>Next Gen</c:v>
                </c:pt>
                <c:pt idx="2">
                  <c:v>Future Concept</c:v>
                </c:pt>
              </c:strCache>
            </c:strRef>
          </c:cat>
          <c:val>
            <c:numRef>
              <c:f>Model!$J$89:$L$89</c:f>
              <c:numCache>
                <c:formatCode>_("$"* #,##0_);_("$"* \(#,##0\);_("$"* "-"??_);_(@_)</c:formatCode>
                <c:ptCount val="3"/>
                <c:pt idx="0">
                  <c:v>0</c:v>
                </c:pt>
                <c:pt idx="1">
                  <c:v>0</c:v>
                </c:pt>
                <c:pt idx="2">
                  <c:v>0</c:v>
                </c:pt>
              </c:numCache>
            </c:numRef>
          </c:val>
          <c:extLst>
            <c:ext xmlns:c16="http://schemas.microsoft.com/office/drawing/2014/chart" uri="{C3380CC4-5D6E-409C-BE32-E72D297353CC}">
              <c16:uniqueId val="{00000001-CD1C-40A3-A2DD-FDAAC102CFEC}"/>
            </c:ext>
          </c:extLst>
        </c:ser>
        <c:ser>
          <c:idx val="2"/>
          <c:order val="2"/>
          <c:tx>
            <c:strRef>
              <c:f>Model!$I$90</c:f>
              <c:strCache>
                <c:ptCount val="1"/>
                <c:pt idx="0">
                  <c:v>Cooling OpEx</c:v>
                </c:pt>
              </c:strCache>
            </c:strRef>
          </c:tx>
          <c:spPr>
            <a:solidFill>
              <a:schemeClr val="accent3"/>
            </a:solidFill>
            <a:ln w="25400">
              <a:noFill/>
            </a:ln>
            <a:effectLst/>
          </c:spPr>
          <c:cat>
            <c:strRef>
              <c:f>Model!$J$4:$L$4</c:f>
              <c:strCache>
                <c:ptCount val="3"/>
                <c:pt idx="0">
                  <c:v>Tech Today</c:v>
                </c:pt>
                <c:pt idx="1">
                  <c:v>Next Gen</c:v>
                </c:pt>
                <c:pt idx="2">
                  <c:v>Future Concept</c:v>
                </c:pt>
              </c:strCache>
            </c:strRef>
          </c:cat>
          <c:val>
            <c:numRef>
              <c:f>Model!$J$90:$L$90</c:f>
              <c:numCache>
                <c:formatCode>_("$"* #,##0_);_("$"* \(#,##0\);_("$"* "-"??_);_(@_)</c:formatCode>
                <c:ptCount val="3"/>
                <c:pt idx="0">
                  <c:v>0</c:v>
                </c:pt>
                <c:pt idx="1">
                  <c:v>0</c:v>
                </c:pt>
                <c:pt idx="2">
                  <c:v>0</c:v>
                </c:pt>
              </c:numCache>
            </c:numRef>
          </c:val>
          <c:extLst>
            <c:ext xmlns:c16="http://schemas.microsoft.com/office/drawing/2014/chart" uri="{C3380CC4-5D6E-409C-BE32-E72D297353CC}">
              <c16:uniqueId val="{00000002-CD1C-40A3-A2DD-FDAAC102CFEC}"/>
            </c:ext>
          </c:extLst>
        </c:ser>
        <c:ser>
          <c:idx val="3"/>
          <c:order val="3"/>
          <c:tx>
            <c:strRef>
              <c:f>Model!$I$91</c:f>
              <c:strCache>
                <c:ptCount val="1"/>
                <c:pt idx="0">
                  <c:v>Deployment OpEx</c:v>
                </c:pt>
              </c:strCache>
            </c:strRef>
          </c:tx>
          <c:spPr>
            <a:solidFill>
              <a:schemeClr val="accent6"/>
            </a:solidFill>
            <a:ln w="25400">
              <a:noFill/>
            </a:ln>
            <a:effectLst/>
          </c:spPr>
          <c:cat>
            <c:strRef>
              <c:f>Model!$J$4:$L$4</c:f>
              <c:strCache>
                <c:ptCount val="3"/>
                <c:pt idx="0">
                  <c:v>Tech Today</c:v>
                </c:pt>
                <c:pt idx="1">
                  <c:v>Next Gen</c:v>
                </c:pt>
                <c:pt idx="2">
                  <c:v>Future Concept</c:v>
                </c:pt>
              </c:strCache>
            </c:strRef>
          </c:cat>
          <c:val>
            <c:numRef>
              <c:f>Model!$J$91:$L$91</c:f>
              <c:numCache>
                <c:formatCode>_("$"* #,##0_);_("$"* \(#,##0\);_("$"* "-"??_);_(@_)</c:formatCode>
                <c:ptCount val="3"/>
                <c:pt idx="0">
                  <c:v>32902.60794276448</c:v>
                </c:pt>
                <c:pt idx="1">
                  <c:v>6562.6207836242966</c:v>
                </c:pt>
                <c:pt idx="2">
                  <c:v>2718.1305630983297</c:v>
                </c:pt>
              </c:numCache>
            </c:numRef>
          </c:val>
          <c:extLst>
            <c:ext xmlns:c16="http://schemas.microsoft.com/office/drawing/2014/chart" uri="{C3380CC4-5D6E-409C-BE32-E72D297353CC}">
              <c16:uniqueId val="{00000003-CD1C-40A3-A2DD-FDAAC102CFEC}"/>
            </c:ext>
          </c:extLst>
        </c:ser>
        <c:dLbls>
          <c:showLegendKey val="0"/>
          <c:showVal val="0"/>
          <c:showCatName val="0"/>
          <c:showSerName val="0"/>
          <c:showPercent val="0"/>
          <c:showBubbleSize val="0"/>
        </c:dLbls>
        <c:axId val="1611871376"/>
        <c:axId val="1611868976"/>
      </c:areaChart>
      <c:catAx>
        <c:axId val="1611871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Roadmap State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611868976"/>
        <c:crosses val="autoZero"/>
        <c:auto val="1"/>
        <c:lblAlgn val="ctr"/>
        <c:lblOffset val="100"/>
        <c:noMultiLvlLbl val="0"/>
      </c:catAx>
      <c:valAx>
        <c:axId val="1611868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OpEx [$M/year]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61187137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OpEx Comparison : Roadmap Progression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v>TDC OpEx</c:v>
          </c:tx>
          <c:spPr>
            <a:solidFill>
              <a:schemeClr val="accent3"/>
            </a:solidFill>
            <a:ln>
              <a:noFill/>
            </a:ln>
            <a:effectLst/>
          </c:spPr>
          <c:invertIfNegative val="0"/>
          <c:cat>
            <c:strRef>
              <c:f>Model!$C$4:$E$4</c:f>
              <c:strCache>
                <c:ptCount val="3"/>
                <c:pt idx="0">
                  <c:v>Tech Today</c:v>
                </c:pt>
                <c:pt idx="1">
                  <c:v>Next Gen</c:v>
                </c:pt>
                <c:pt idx="2">
                  <c:v>Future Concept</c:v>
                </c:pt>
              </c:strCache>
            </c:strRef>
          </c:cat>
          <c:val>
            <c:numRef>
              <c:f>Model!$C$92:$E$92</c:f>
              <c:numCache>
                <c:formatCode>_("$"* #,##0_);_("$"* \(#,##0\);_("$"* "-"??_);_(@_)</c:formatCode>
                <c:ptCount val="3"/>
                <c:pt idx="0">
                  <c:v>6356.2934308804097</c:v>
                </c:pt>
                <c:pt idx="1">
                  <c:v>7219.7651189326971</c:v>
                </c:pt>
                <c:pt idx="2">
                  <c:v>8255.359090036487</c:v>
                </c:pt>
              </c:numCache>
            </c:numRef>
          </c:val>
          <c:extLst>
            <c:ext xmlns:c16="http://schemas.microsoft.com/office/drawing/2014/chart" uri="{C3380CC4-5D6E-409C-BE32-E72D297353CC}">
              <c16:uniqueId val="{00000000-64CA-4DB5-B544-1A718B8B23AB}"/>
            </c:ext>
          </c:extLst>
        </c:ser>
        <c:ser>
          <c:idx val="1"/>
          <c:order val="1"/>
          <c:tx>
            <c:v>ODC OpEx</c:v>
          </c:tx>
          <c:spPr>
            <a:solidFill>
              <a:schemeClr val="accent2"/>
            </a:solidFill>
            <a:ln>
              <a:noFill/>
            </a:ln>
            <a:effectLst/>
          </c:spPr>
          <c:invertIfNegative val="0"/>
          <c:cat>
            <c:strRef>
              <c:f>Model!$C$4:$E$4</c:f>
              <c:strCache>
                <c:ptCount val="3"/>
                <c:pt idx="0">
                  <c:v>Tech Today</c:v>
                </c:pt>
                <c:pt idx="1">
                  <c:v>Next Gen</c:v>
                </c:pt>
                <c:pt idx="2">
                  <c:v>Future Concept</c:v>
                </c:pt>
              </c:strCache>
            </c:strRef>
          </c:cat>
          <c:val>
            <c:numRef>
              <c:f>Model!$J$92:$L$92</c:f>
              <c:numCache>
                <c:formatCode>_("$"* #,##0.0_);_("$"* \(#,##0.0\);_("$"* "-"??_);_(@_)</c:formatCode>
                <c:ptCount val="3"/>
                <c:pt idx="0">
                  <c:v>32902.60794276448</c:v>
                </c:pt>
                <c:pt idx="1">
                  <c:v>6562.6207836242966</c:v>
                </c:pt>
                <c:pt idx="2">
                  <c:v>2718.1305630983297</c:v>
                </c:pt>
              </c:numCache>
            </c:numRef>
          </c:val>
          <c:extLst>
            <c:ext xmlns:c16="http://schemas.microsoft.com/office/drawing/2014/chart" uri="{C3380CC4-5D6E-409C-BE32-E72D297353CC}">
              <c16:uniqueId val="{00000001-64CA-4DB5-B544-1A718B8B23AB}"/>
            </c:ext>
          </c:extLst>
        </c:ser>
        <c:dLbls>
          <c:showLegendKey val="0"/>
          <c:showVal val="0"/>
          <c:showCatName val="0"/>
          <c:showSerName val="0"/>
          <c:showPercent val="0"/>
          <c:showBubbleSize val="0"/>
        </c:dLbls>
        <c:gapWidth val="219"/>
        <c:overlap val="-27"/>
        <c:axId val="1556869792"/>
        <c:axId val="1556866432"/>
      </c:barChart>
      <c:catAx>
        <c:axId val="1556869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Roadmap State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556866432"/>
        <c:crosses val="autoZero"/>
        <c:auto val="1"/>
        <c:lblAlgn val="ctr"/>
        <c:lblOffset val="100"/>
        <c:noMultiLvlLbl val="0"/>
      </c:catAx>
      <c:valAx>
        <c:axId val="1556866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OpEx [$M/year]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55686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OpEx Breakdown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8DF-4A1F-98A8-C05B570D72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8DF-4A1F-98A8-C05B570D72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8DF-4A1F-98A8-C05B570D729A}"/>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68DF-4A1F-98A8-C05B570D729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Model!$B$88:$B$91</c:f>
              <c:strCache>
                <c:ptCount val="4"/>
                <c:pt idx="0">
                  <c:v>Power OpEx</c:v>
                </c:pt>
                <c:pt idx="1">
                  <c:v>Compute OpEx</c:v>
                </c:pt>
                <c:pt idx="2">
                  <c:v>Cooling OpEx</c:v>
                </c:pt>
                <c:pt idx="3">
                  <c:v>Deployment OpEx</c:v>
                </c:pt>
              </c:strCache>
            </c:strRef>
          </c:cat>
          <c:val>
            <c:numRef>
              <c:f>Model!$D$88:$D$91</c:f>
              <c:numCache>
                <c:formatCode>_("$"* #,##0_);_("$"* \(#,##0\);_("$"* "-"??_);_(@_)</c:formatCode>
                <c:ptCount val="4"/>
                <c:pt idx="0">
                  <c:v>616.70399999999995</c:v>
                </c:pt>
                <c:pt idx="1">
                  <c:v>577.77599999999995</c:v>
                </c:pt>
                <c:pt idx="2">
                  <c:v>3.2910752972258921</c:v>
                </c:pt>
                <c:pt idx="3">
                  <c:v>6021.9940436354709</c:v>
                </c:pt>
              </c:numCache>
            </c:numRef>
          </c:val>
          <c:extLst>
            <c:ext xmlns:c16="http://schemas.microsoft.com/office/drawing/2014/chart" uri="{C3380CC4-5D6E-409C-BE32-E72D297353CC}">
              <c16:uniqueId val="{00000008-68DF-4A1F-98A8-C05B570D729A}"/>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OpEx Comparison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Model!$B$2</c:f>
              <c:strCache>
                <c:ptCount val="1"/>
                <c:pt idx="0">
                  <c:v>Terrestrial Data Center</c:v>
                </c:pt>
              </c:strCache>
            </c:strRef>
          </c:tx>
          <c:spPr>
            <a:solidFill>
              <a:schemeClr val="accent1"/>
            </a:solidFill>
            <a:ln>
              <a:noFill/>
            </a:ln>
            <a:effectLst/>
          </c:spPr>
          <c:invertIfNegative val="0"/>
          <c:cat>
            <c:strRef>
              <c:f>Model!$B$88:$B$91</c:f>
              <c:strCache>
                <c:ptCount val="4"/>
                <c:pt idx="0">
                  <c:v>Power OpEx</c:v>
                </c:pt>
                <c:pt idx="1">
                  <c:v>Compute OpEx</c:v>
                </c:pt>
                <c:pt idx="2">
                  <c:v>Cooling OpEx</c:v>
                </c:pt>
                <c:pt idx="3">
                  <c:v>Deployment OpEx</c:v>
                </c:pt>
              </c:strCache>
            </c:strRef>
          </c:cat>
          <c:val>
            <c:numRef>
              <c:f>Model!$D$88:$D$91</c:f>
              <c:numCache>
                <c:formatCode>_("$"* #,##0_);_("$"* \(#,##0\);_("$"* "-"??_);_(@_)</c:formatCode>
                <c:ptCount val="4"/>
                <c:pt idx="0">
                  <c:v>616.70399999999995</c:v>
                </c:pt>
                <c:pt idx="1">
                  <c:v>577.77599999999995</c:v>
                </c:pt>
                <c:pt idx="2">
                  <c:v>3.2910752972258921</c:v>
                </c:pt>
                <c:pt idx="3">
                  <c:v>6021.9940436354709</c:v>
                </c:pt>
              </c:numCache>
            </c:numRef>
          </c:val>
          <c:extLst>
            <c:ext xmlns:c16="http://schemas.microsoft.com/office/drawing/2014/chart" uri="{C3380CC4-5D6E-409C-BE32-E72D297353CC}">
              <c16:uniqueId val="{00000000-4C17-4D65-87AE-B0E1356862BD}"/>
            </c:ext>
          </c:extLst>
        </c:ser>
        <c:ser>
          <c:idx val="2"/>
          <c:order val="1"/>
          <c:tx>
            <c:strRef>
              <c:f>Model!$I$2</c:f>
              <c:strCache>
                <c:ptCount val="1"/>
                <c:pt idx="0">
                  <c:v>Orbital Data Center</c:v>
                </c:pt>
              </c:strCache>
            </c:strRef>
          </c:tx>
          <c:spPr>
            <a:solidFill>
              <a:schemeClr val="accent3"/>
            </a:solidFill>
            <a:ln>
              <a:noFill/>
            </a:ln>
            <a:effectLst/>
          </c:spPr>
          <c:invertIfNegative val="0"/>
          <c:cat>
            <c:strRef>
              <c:f>Model!$B$88:$B$91</c:f>
              <c:strCache>
                <c:ptCount val="4"/>
                <c:pt idx="0">
                  <c:v>Power OpEx</c:v>
                </c:pt>
                <c:pt idx="1">
                  <c:v>Compute OpEx</c:v>
                </c:pt>
                <c:pt idx="2">
                  <c:v>Cooling OpEx</c:v>
                </c:pt>
                <c:pt idx="3">
                  <c:v>Deployment OpEx</c:v>
                </c:pt>
              </c:strCache>
            </c:strRef>
          </c:cat>
          <c:val>
            <c:numRef>
              <c:f>Model!$K$88:$K$91</c:f>
              <c:numCache>
                <c:formatCode>_("$"* #,##0_);_("$"* \(#,##0\);_("$"* "-"??_);_(@_)</c:formatCode>
                <c:ptCount val="4"/>
                <c:pt idx="0">
                  <c:v>0</c:v>
                </c:pt>
                <c:pt idx="1">
                  <c:v>0</c:v>
                </c:pt>
                <c:pt idx="2">
                  <c:v>0</c:v>
                </c:pt>
                <c:pt idx="3">
                  <c:v>6562.6207836242966</c:v>
                </c:pt>
              </c:numCache>
            </c:numRef>
          </c:val>
          <c:extLst>
            <c:ext xmlns:c16="http://schemas.microsoft.com/office/drawing/2014/chart" uri="{C3380CC4-5D6E-409C-BE32-E72D297353CC}">
              <c16:uniqueId val="{00000001-4C17-4D65-87AE-B0E1356862BD}"/>
            </c:ext>
          </c:extLst>
        </c:ser>
        <c:dLbls>
          <c:showLegendKey val="0"/>
          <c:showVal val="0"/>
          <c:showCatName val="0"/>
          <c:showSerName val="0"/>
          <c:showPercent val="0"/>
          <c:showBubbleSize val="0"/>
        </c:dLbls>
        <c:gapWidth val="219"/>
        <c:overlap val="-27"/>
        <c:axId val="770820864"/>
        <c:axId val="925949952"/>
      </c:barChart>
      <c:catAx>
        <c:axId val="77082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5949952"/>
        <c:crosses val="autoZero"/>
        <c:auto val="1"/>
        <c:lblAlgn val="ctr"/>
        <c:lblOffset val="100"/>
        <c:noMultiLvlLbl val="0"/>
      </c:catAx>
      <c:valAx>
        <c:axId val="9259499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770820864"/>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ptos" panose="020B0004020202020204" pitchFamily="34" charset="0"/>
                <a:ea typeface="+mn-ea"/>
                <a:cs typeface="+mn-cs"/>
              </a:defRPr>
            </a:pPr>
            <a:r>
              <a:rPr lang="en-US"/>
              <a:t>ODC OpEx Breakdown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0E9-4BED-A757-C0AAF94BF08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0E9-4BED-A757-C0AAF94BF08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0E9-4BED-A757-C0AAF94BF08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80E9-4BED-A757-C0AAF94BF08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Model!$B$88:$B$91</c:f>
              <c:strCache>
                <c:ptCount val="4"/>
                <c:pt idx="0">
                  <c:v>Power OpEx</c:v>
                </c:pt>
                <c:pt idx="1">
                  <c:v>Compute OpEx</c:v>
                </c:pt>
                <c:pt idx="2">
                  <c:v>Cooling OpEx</c:v>
                </c:pt>
                <c:pt idx="3">
                  <c:v>Deployment OpEx</c:v>
                </c:pt>
              </c:strCache>
            </c:strRef>
          </c:cat>
          <c:val>
            <c:numRef>
              <c:f>Model!$K$88:$K$91</c:f>
              <c:numCache>
                <c:formatCode>_("$"* #,##0_);_("$"* \(#,##0\);_("$"* "-"??_);_(@_)</c:formatCode>
                <c:ptCount val="4"/>
                <c:pt idx="0">
                  <c:v>0</c:v>
                </c:pt>
                <c:pt idx="1">
                  <c:v>0</c:v>
                </c:pt>
                <c:pt idx="2">
                  <c:v>0</c:v>
                </c:pt>
                <c:pt idx="3">
                  <c:v>6562.6207836242966</c:v>
                </c:pt>
              </c:numCache>
            </c:numRef>
          </c:val>
          <c:extLst>
            <c:ext xmlns:c16="http://schemas.microsoft.com/office/drawing/2014/chart" uri="{C3380CC4-5D6E-409C-BE32-E72D297353CC}">
              <c16:uniqueId val="{00000008-80E9-4BED-A757-C0AAF94BF082}"/>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OpEx Magnitude Comparison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barChart>
        <c:barDir val="col"/>
        <c:grouping val="stacked"/>
        <c:varyColors val="0"/>
        <c:ser>
          <c:idx val="0"/>
          <c:order val="0"/>
          <c:tx>
            <c:strRef>
              <c:f>Model!$B$88</c:f>
              <c:strCache>
                <c:ptCount val="1"/>
                <c:pt idx="0">
                  <c:v>Power OpEx</c:v>
                </c:pt>
              </c:strCache>
            </c:strRef>
          </c:tx>
          <c:spPr>
            <a:solidFill>
              <a:schemeClr val="accent1"/>
            </a:solidFill>
            <a:ln>
              <a:noFill/>
            </a:ln>
            <a:effectLst/>
          </c:spPr>
          <c:invertIfNegative val="0"/>
          <c:cat>
            <c:strRef>
              <c:f>(Model!$B$2,Model!$I$2)</c:f>
              <c:strCache>
                <c:ptCount val="2"/>
                <c:pt idx="0">
                  <c:v>Terrestrial Data Center</c:v>
                </c:pt>
                <c:pt idx="1">
                  <c:v>Orbital Data Center</c:v>
                </c:pt>
              </c:strCache>
            </c:strRef>
          </c:cat>
          <c:val>
            <c:numRef>
              <c:f>(Model!$D$88,Model!$K$88)</c:f>
              <c:numCache>
                <c:formatCode>_("$"* #,##0_);_("$"* \(#,##0\);_("$"* "-"??_);_(@_)</c:formatCode>
                <c:ptCount val="2"/>
                <c:pt idx="0">
                  <c:v>616.70399999999995</c:v>
                </c:pt>
                <c:pt idx="1">
                  <c:v>0</c:v>
                </c:pt>
              </c:numCache>
            </c:numRef>
          </c:val>
          <c:extLst>
            <c:ext xmlns:c16="http://schemas.microsoft.com/office/drawing/2014/chart" uri="{C3380CC4-5D6E-409C-BE32-E72D297353CC}">
              <c16:uniqueId val="{00000000-769F-4D73-B02A-641DD8788873}"/>
            </c:ext>
          </c:extLst>
        </c:ser>
        <c:ser>
          <c:idx val="1"/>
          <c:order val="1"/>
          <c:tx>
            <c:strRef>
              <c:f>Model!$B$89</c:f>
              <c:strCache>
                <c:ptCount val="1"/>
                <c:pt idx="0">
                  <c:v>Compute OpEx</c:v>
                </c:pt>
              </c:strCache>
            </c:strRef>
          </c:tx>
          <c:spPr>
            <a:solidFill>
              <a:schemeClr val="accent2"/>
            </a:solidFill>
            <a:ln>
              <a:noFill/>
            </a:ln>
            <a:effectLst/>
          </c:spPr>
          <c:invertIfNegative val="0"/>
          <c:cat>
            <c:strRef>
              <c:f>(Model!$B$2,Model!$I$2)</c:f>
              <c:strCache>
                <c:ptCount val="2"/>
                <c:pt idx="0">
                  <c:v>Terrestrial Data Center</c:v>
                </c:pt>
                <c:pt idx="1">
                  <c:v>Orbital Data Center</c:v>
                </c:pt>
              </c:strCache>
            </c:strRef>
          </c:cat>
          <c:val>
            <c:numRef>
              <c:f>(Model!$D$89,Model!$K$89)</c:f>
              <c:numCache>
                <c:formatCode>_("$"* #,##0_);_("$"* \(#,##0\);_("$"* "-"??_);_(@_)</c:formatCode>
                <c:ptCount val="2"/>
                <c:pt idx="0">
                  <c:v>577.77599999999995</c:v>
                </c:pt>
                <c:pt idx="1">
                  <c:v>0</c:v>
                </c:pt>
              </c:numCache>
            </c:numRef>
          </c:val>
          <c:extLst>
            <c:ext xmlns:c16="http://schemas.microsoft.com/office/drawing/2014/chart" uri="{C3380CC4-5D6E-409C-BE32-E72D297353CC}">
              <c16:uniqueId val="{00000001-769F-4D73-B02A-641DD8788873}"/>
            </c:ext>
          </c:extLst>
        </c:ser>
        <c:ser>
          <c:idx val="2"/>
          <c:order val="2"/>
          <c:tx>
            <c:strRef>
              <c:f>Model!$B$90</c:f>
              <c:strCache>
                <c:ptCount val="1"/>
                <c:pt idx="0">
                  <c:v>Cooling OpEx</c:v>
                </c:pt>
              </c:strCache>
            </c:strRef>
          </c:tx>
          <c:spPr>
            <a:solidFill>
              <a:schemeClr val="accent3"/>
            </a:solidFill>
            <a:ln>
              <a:noFill/>
            </a:ln>
            <a:effectLst/>
          </c:spPr>
          <c:invertIfNegative val="0"/>
          <c:cat>
            <c:strRef>
              <c:f>(Model!$B$2,Model!$I$2)</c:f>
              <c:strCache>
                <c:ptCount val="2"/>
                <c:pt idx="0">
                  <c:v>Terrestrial Data Center</c:v>
                </c:pt>
                <c:pt idx="1">
                  <c:v>Orbital Data Center</c:v>
                </c:pt>
              </c:strCache>
            </c:strRef>
          </c:cat>
          <c:val>
            <c:numRef>
              <c:f>(Model!$D$90,Model!$K$90)</c:f>
              <c:numCache>
                <c:formatCode>_("$"* #,##0_);_("$"* \(#,##0\);_("$"* "-"??_);_(@_)</c:formatCode>
                <c:ptCount val="2"/>
                <c:pt idx="0">
                  <c:v>3.2910752972258921</c:v>
                </c:pt>
                <c:pt idx="1">
                  <c:v>0</c:v>
                </c:pt>
              </c:numCache>
            </c:numRef>
          </c:val>
          <c:extLst>
            <c:ext xmlns:c16="http://schemas.microsoft.com/office/drawing/2014/chart" uri="{C3380CC4-5D6E-409C-BE32-E72D297353CC}">
              <c16:uniqueId val="{00000002-769F-4D73-B02A-641DD8788873}"/>
            </c:ext>
          </c:extLst>
        </c:ser>
        <c:ser>
          <c:idx val="3"/>
          <c:order val="3"/>
          <c:tx>
            <c:strRef>
              <c:f>Model!$B$91</c:f>
              <c:strCache>
                <c:ptCount val="1"/>
                <c:pt idx="0">
                  <c:v>Deployment OpEx</c:v>
                </c:pt>
              </c:strCache>
            </c:strRef>
          </c:tx>
          <c:spPr>
            <a:solidFill>
              <a:schemeClr val="accent6"/>
            </a:solidFill>
            <a:ln>
              <a:noFill/>
            </a:ln>
            <a:effectLst/>
          </c:spPr>
          <c:invertIfNegative val="0"/>
          <c:cat>
            <c:strRef>
              <c:f>(Model!$B$2,Model!$I$2)</c:f>
              <c:strCache>
                <c:ptCount val="2"/>
                <c:pt idx="0">
                  <c:v>Terrestrial Data Center</c:v>
                </c:pt>
                <c:pt idx="1">
                  <c:v>Orbital Data Center</c:v>
                </c:pt>
              </c:strCache>
            </c:strRef>
          </c:cat>
          <c:val>
            <c:numRef>
              <c:f>(Model!$D$91,Model!$K$91)</c:f>
              <c:numCache>
                <c:formatCode>_("$"* #,##0_);_("$"* \(#,##0\);_("$"* "-"??_);_(@_)</c:formatCode>
                <c:ptCount val="2"/>
                <c:pt idx="0">
                  <c:v>6021.9940436354709</c:v>
                </c:pt>
                <c:pt idx="1">
                  <c:v>6562.6207836242966</c:v>
                </c:pt>
              </c:numCache>
            </c:numRef>
          </c:val>
          <c:extLst>
            <c:ext xmlns:c16="http://schemas.microsoft.com/office/drawing/2014/chart" uri="{C3380CC4-5D6E-409C-BE32-E72D297353CC}">
              <c16:uniqueId val="{00000003-769F-4D73-B02A-641DD8788873}"/>
            </c:ext>
          </c:extLst>
        </c:ser>
        <c:dLbls>
          <c:showLegendKey val="0"/>
          <c:showVal val="0"/>
          <c:showCatName val="0"/>
          <c:showSerName val="0"/>
          <c:showPercent val="0"/>
          <c:showBubbleSize val="0"/>
        </c:dLbls>
        <c:gapWidth val="150"/>
        <c:overlap val="100"/>
        <c:axId val="826054400"/>
        <c:axId val="826058240"/>
      </c:barChart>
      <c:catAx>
        <c:axId val="82605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8240"/>
        <c:crosses val="autoZero"/>
        <c:auto val="1"/>
        <c:lblAlgn val="ctr"/>
        <c:lblOffset val="100"/>
        <c:noMultiLvlLbl val="0"/>
      </c:catAx>
      <c:valAx>
        <c:axId val="8260582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896-44F8-ABFE-E84B2A561EB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896-44F8-ABFE-E84B2A561EB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896-44F8-ABFE-E84B2A561EB7}"/>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C896-44F8-ABFE-E84B2A561EB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Model!$B$82:$B$85</c:f>
              <c:strCache>
                <c:ptCount val="4"/>
                <c:pt idx="0">
                  <c:v>Power CapEx</c:v>
                </c:pt>
                <c:pt idx="1">
                  <c:v>Compute CapEx</c:v>
                </c:pt>
                <c:pt idx="2">
                  <c:v>Cooling CapEx</c:v>
                </c:pt>
                <c:pt idx="3">
                  <c:v>Deployment CapEx</c:v>
                </c:pt>
              </c:strCache>
            </c:strRef>
          </c:cat>
          <c:val>
            <c:numRef>
              <c:f>Model!$J$82:$J$85</c:f>
              <c:numCache>
                <c:formatCode>_("$"* #,##0.0_);_("$"* \(#,##0.0\);_("$"* "-"??_);_(@_)</c:formatCode>
                <c:ptCount val="4"/>
                <c:pt idx="0">
                  <c:v>50</c:v>
                </c:pt>
                <c:pt idx="1">
                  <c:v>24.470588235294116</c:v>
                </c:pt>
                <c:pt idx="2">
                  <c:v>0.27122059754921701</c:v>
                </c:pt>
                <c:pt idx="3">
                  <c:v>163.26303971382239</c:v>
                </c:pt>
              </c:numCache>
            </c:numRef>
          </c:val>
          <c:extLst>
            <c:ext xmlns:c16="http://schemas.microsoft.com/office/drawing/2014/chart" uri="{C3380CC4-5D6E-409C-BE32-E72D297353CC}">
              <c16:uniqueId val="{00000008-C896-44F8-ABFE-E84B2A561EB7}"/>
            </c:ext>
          </c:extLst>
        </c:ser>
        <c:dLbls>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OpEx Breakdown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10-4CCF-A4CF-177B6DBFC4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10-4CCF-A4CF-177B6DBFC4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10-4CCF-A4CF-177B6DBFC4CD}"/>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5710-4CCF-A4CF-177B6DBFC4CD}"/>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Model!$B$88:$B$91</c:f>
              <c:strCache>
                <c:ptCount val="4"/>
                <c:pt idx="0">
                  <c:v>Power OpEx</c:v>
                </c:pt>
                <c:pt idx="1">
                  <c:v>Compute OpEx</c:v>
                </c:pt>
                <c:pt idx="2">
                  <c:v>Cooling OpEx</c:v>
                </c:pt>
                <c:pt idx="3">
                  <c:v>Deployment OpEx</c:v>
                </c:pt>
              </c:strCache>
            </c:strRef>
          </c:cat>
          <c:val>
            <c:numRef>
              <c:f>Model!$E$88:$E$91</c:f>
              <c:numCache>
                <c:formatCode>_("$"* #,##0_);_("$"* \(#,##0\);_("$"* "-"??_);_(@_)</c:formatCode>
                <c:ptCount val="4"/>
                <c:pt idx="0">
                  <c:v>735.84</c:v>
                </c:pt>
                <c:pt idx="1">
                  <c:v>610.83000000000004</c:v>
                </c:pt>
                <c:pt idx="2">
                  <c:v>0</c:v>
                </c:pt>
                <c:pt idx="3">
                  <c:v>6908.689090036486</c:v>
                </c:pt>
              </c:numCache>
            </c:numRef>
          </c:val>
          <c:extLst>
            <c:ext xmlns:c16="http://schemas.microsoft.com/office/drawing/2014/chart" uri="{C3380CC4-5D6E-409C-BE32-E72D297353CC}">
              <c16:uniqueId val="{00000008-5710-4CCF-A4CF-177B6DBFC4CD}"/>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OpEx Comparison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Model!$B$2</c:f>
              <c:strCache>
                <c:ptCount val="1"/>
                <c:pt idx="0">
                  <c:v>Terrestrial Data Center</c:v>
                </c:pt>
              </c:strCache>
            </c:strRef>
          </c:tx>
          <c:spPr>
            <a:solidFill>
              <a:schemeClr val="accent1"/>
            </a:solidFill>
            <a:ln>
              <a:noFill/>
            </a:ln>
            <a:effectLst/>
          </c:spPr>
          <c:invertIfNegative val="0"/>
          <c:cat>
            <c:strRef>
              <c:f>Model!$B$88:$B$91</c:f>
              <c:strCache>
                <c:ptCount val="4"/>
                <c:pt idx="0">
                  <c:v>Power OpEx</c:v>
                </c:pt>
                <c:pt idx="1">
                  <c:v>Compute OpEx</c:v>
                </c:pt>
                <c:pt idx="2">
                  <c:v>Cooling OpEx</c:v>
                </c:pt>
                <c:pt idx="3">
                  <c:v>Deployment OpEx</c:v>
                </c:pt>
              </c:strCache>
            </c:strRef>
          </c:cat>
          <c:val>
            <c:numRef>
              <c:f>Model!$E$88:$E$91</c:f>
              <c:numCache>
                <c:formatCode>_("$"* #,##0_);_("$"* \(#,##0\);_("$"* "-"??_);_(@_)</c:formatCode>
                <c:ptCount val="4"/>
                <c:pt idx="0">
                  <c:v>735.84</c:v>
                </c:pt>
                <c:pt idx="1">
                  <c:v>610.83000000000004</c:v>
                </c:pt>
                <c:pt idx="2">
                  <c:v>0</c:v>
                </c:pt>
                <c:pt idx="3">
                  <c:v>6908.689090036486</c:v>
                </c:pt>
              </c:numCache>
            </c:numRef>
          </c:val>
          <c:extLst>
            <c:ext xmlns:c16="http://schemas.microsoft.com/office/drawing/2014/chart" uri="{C3380CC4-5D6E-409C-BE32-E72D297353CC}">
              <c16:uniqueId val="{00000000-060B-4A90-B19C-C642AD0DF285}"/>
            </c:ext>
          </c:extLst>
        </c:ser>
        <c:ser>
          <c:idx val="2"/>
          <c:order val="1"/>
          <c:tx>
            <c:strRef>
              <c:f>Model!$I$2</c:f>
              <c:strCache>
                <c:ptCount val="1"/>
                <c:pt idx="0">
                  <c:v>Orbital Data Center</c:v>
                </c:pt>
              </c:strCache>
            </c:strRef>
          </c:tx>
          <c:spPr>
            <a:solidFill>
              <a:schemeClr val="accent3"/>
            </a:solidFill>
            <a:ln>
              <a:noFill/>
            </a:ln>
            <a:effectLst/>
          </c:spPr>
          <c:invertIfNegative val="0"/>
          <c:cat>
            <c:strRef>
              <c:f>Model!$B$88:$B$91</c:f>
              <c:strCache>
                <c:ptCount val="4"/>
                <c:pt idx="0">
                  <c:v>Power OpEx</c:v>
                </c:pt>
                <c:pt idx="1">
                  <c:v>Compute OpEx</c:v>
                </c:pt>
                <c:pt idx="2">
                  <c:v>Cooling OpEx</c:v>
                </c:pt>
                <c:pt idx="3">
                  <c:v>Deployment OpEx</c:v>
                </c:pt>
              </c:strCache>
            </c:strRef>
          </c:cat>
          <c:val>
            <c:numRef>
              <c:f>Model!$L$88:$L$91</c:f>
              <c:numCache>
                <c:formatCode>_("$"* #,##0_);_("$"* \(#,##0\);_("$"* "-"??_);_(@_)</c:formatCode>
                <c:ptCount val="4"/>
                <c:pt idx="0">
                  <c:v>0</c:v>
                </c:pt>
                <c:pt idx="1">
                  <c:v>0</c:v>
                </c:pt>
                <c:pt idx="2">
                  <c:v>0</c:v>
                </c:pt>
                <c:pt idx="3">
                  <c:v>2718.1305630983297</c:v>
                </c:pt>
              </c:numCache>
            </c:numRef>
          </c:val>
          <c:extLst>
            <c:ext xmlns:c16="http://schemas.microsoft.com/office/drawing/2014/chart" uri="{C3380CC4-5D6E-409C-BE32-E72D297353CC}">
              <c16:uniqueId val="{00000001-060B-4A90-B19C-C642AD0DF285}"/>
            </c:ext>
          </c:extLst>
        </c:ser>
        <c:dLbls>
          <c:showLegendKey val="0"/>
          <c:showVal val="0"/>
          <c:showCatName val="0"/>
          <c:showSerName val="0"/>
          <c:showPercent val="0"/>
          <c:showBubbleSize val="0"/>
        </c:dLbls>
        <c:gapWidth val="219"/>
        <c:overlap val="-27"/>
        <c:axId val="770820864"/>
        <c:axId val="925949952"/>
      </c:barChart>
      <c:catAx>
        <c:axId val="77082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5949952"/>
        <c:crosses val="autoZero"/>
        <c:auto val="1"/>
        <c:lblAlgn val="ctr"/>
        <c:lblOffset val="100"/>
        <c:noMultiLvlLbl val="0"/>
      </c:catAx>
      <c:valAx>
        <c:axId val="9259499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770820864"/>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OpEx Breakdown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A6-4C58-8576-28BB9A2802F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A6-4C58-8576-28BB9A2802F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A6-4C58-8576-28BB9A2802FA}"/>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76A6-4C58-8576-28BB9A28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Model!$B$88:$B$91</c:f>
              <c:strCache>
                <c:ptCount val="4"/>
                <c:pt idx="0">
                  <c:v>Power OpEx</c:v>
                </c:pt>
                <c:pt idx="1">
                  <c:v>Compute OpEx</c:v>
                </c:pt>
                <c:pt idx="2">
                  <c:v>Cooling OpEx</c:v>
                </c:pt>
                <c:pt idx="3">
                  <c:v>Deployment OpEx</c:v>
                </c:pt>
              </c:strCache>
            </c:strRef>
          </c:cat>
          <c:val>
            <c:numRef>
              <c:f>Model!$L$88:$L$91</c:f>
              <c:numCache>
                <c:formatCode>_("$"* #,##0_);_("$"* \(#,##0\);_("$"* "-"??_);_(@_)</c:formatCode>
                <c:ptCount val="4"/>
                <c:pt idx="0">
                  <c:v>0</c:v>
                </c:pt>
                <c:pt idx="1">
                  <c:v>0</c:v>
                </c:pt>
                <c:pt idx="2">
                  <c:v>0</c:v>
                </c:pt>
                <c:pt idx="3">
                  <c:v>2718.1305630983297</c:v>
                </c:pt>
              </c:numCache>
            </c:numRef>
          </c:val>
          <c:extLst>
            <c:ext xmlns:c16="http://schemas.microsoft.com/office/drawing/2014/chart" uri="{C3380CC4-5D6E-409C-BE32-E72D297353CC}">
              <c16:uniqueId val="{00000008-76A6-4C58-8576-28BB9A2802FA}"/>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OpEx Magnitude Comparison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barChart>
        <c:barDir val="col"/>
        <c:grouping val="stacked"/>
        <c:varyColors val="0"/>
        <c:ser>
          <c:idx val="0"/>
          <c:order val="0"/>
          <c:tx>
            <c:strRef>
              <c:f>Model!$B$88</c:f>
              <c:strCache>
                <c:ptCount val="1"/>
                <c:pt idx="0">
                  <c:v>Power OpEx</c:v>
                </c:pt>
              </c:strCache>
            </c:strRef>
          </c:tx>
          <c:spPr>
            <a:solidFill>
              <a:schemeClr val="accent1"/>
            </a:solidFill>
            <a:ln>
              <a:noFill/>
            </a:ln>
            <a:effectLst/>
          </c:spPr>
          <c:invertIfNegative val="0"/>
          <c:cat>
            <c:strRef>
              <c:f>(Model!$B$2,Model!$I$2)</c:f>
              <c:strCache>
                <c:ptCount val="2"/>
                <c:pt idx="0">
                  <c:v>Terrestrial Data Center</c:v>
                </c:pt>
                <c:pt idx="1">
                  <c:v>Orbital Data Center</c:v>
                </c:pt>
              </c:strCache>
            </c:strRef>
          </c:cat>
          <c:val>
            <c:numRef>
              <c:f>(Model!$E$88,Model!$L$88)</c:f>
              <c:numCache>
                <c:formatCode>_("$"* #,##0_);_("$"* \(#,##0\);_("$"* "-"??_);_(@_)</c:formatCode>
                <c:ptCount val="2"/>
                <c:pt idx="0">
                  <c:v>735.84</c:v>
                </c:pt>
                <c:pt idx="1">
                  <c:v>0</c:v>
                </c:pt>
              </c:numCache>
            </c:numRef>
          </c:val>
          <c:extLst>
            <c:ext xmlns:c16="http://schemas.microsoft.com/office/drawing/2014/chart" uri="{C3380CC4-5D6E-409C-BE32-E72D297353CC}">
              <c16:uniqueId val="{00000000-220D-4911-9782-DC2672E95722}"/>
            </c:ext>
          </c:extLst>
        </c:ser>
        <c:ser>
          <c:idx val="1"/>
          <c:order val="1"/>
          <c:tx>
            <c:strRef>
              <c:f>Model!$B$89</c:f>
              <c:strCache>
                <c:ptCount val="1"/>
                <c:pt idx="0">
                  <c:v>Compute OpEx</c:v>
                </c:pt>
              </c:strCache>
            </c:strRef>
          </c:tx>
          <c:spPr>
            <a:solidFill>
              <a:schemeClr val="accent2"/>
            </a:solidFill>
            <a:ln>
              <a:noFill/>
            </a:ln>
            <a:effectLst/>
          </c:spPr>
          <c:invertIfNegative val="0"/>
          <c:cat>
            <c:strRef>
              <c:f>(Model!$B$2,Model!$I$2)</c:f>
              <c:strCache>
                <c:ptCount val="2"/>
                <c:pt idx="0">
                  <c:v>Terrestrial Data Center</c:v>
                </c:pt>
                <c:pt idx="1">
                  <c:v>Orbital Data Center</c:v>
                </c:pt>
              </c:strCache>
            </c:strRef>
          </c:cat>
          <c:val>
            <c:numRef>
              <c:f>(Model!$E$89,Model!$L$89)</c:f>
              <c:numCache>
                <c:formatCode>_("$"* #,##0_);_("$"* \(#,##0\);_("$"* "-"??_);_(@_)</c:formatCode>
                <c:ptCount val="2"/>
                <c:pt idx="0">
                  <c:v>610.83000000000004</c:v>
                </c:pt>
                <c:pt idx="1">
                  <c:v>0</c:v>
                </c:pt>
              </c:numCache>
            </c:numRef>
          </c:val>
          <c:extLst>
            <c:ext xmlns:c16="http://schemas.microsoft.com/office/drawing/2014/chart" uri="{C3380CC4-5D6E-409C-BE32-E72D297353CC}">
              <c16:uniqueId val="{00000001-220D-4911-9782-DC2672E95722}"/>
            </c:ext>
          </c:extLst>
        </c:ser>
        <c:ser>
          <c:idx val="2"/>
          <c:order val="2"/>
          <c:tx>
            <c:strRef>
              <c:f>Model!$B$90</c:f>
              <c:strCache>
                <c:ptCount val="1"/>
                <c:pt idx="0">
                  <c:v>Cooling OpEx</c:v>
                </c:pt>
              </c:strCache>
            </c:strRef>
          </c:tx>
          <c:spPr>
            <a:solidFill>
              <a:schemeClr val="accent3"/>
            </a:solidFill>
            <a:ln>
              <a:noFill/>
            </a:ln>
            <a:effectLst/>
          </c:spPr>
          <c:invertIfNegative val="0"/>
          <c:cat>
            <c:strRef>
              <c:f>(Model!$B$2,Model!$I$2)</c:f>
              <c:strCache>
                <c:ptCount val="2"/>
                <c:pt idx="0">
                  <c:v>Terrestrial Data Center</c:v>
                </c:pt>
                <c:pt idx="1">
                  <c:v>Orbital Data Center</c:v>
                </c:pt>
              </c:strCache>
            </c:strRef>
          </c:cat>
          <c:val>
            <c:numRef>
              <c:f>(Model!$E$90,Model!$L$90)</c:f>
              <c:numCache>
                <c:formatCode>_("$"* #,##0_);_("$"* \(#,##0\);_("$"* "-"??_);_(@_)</c:formatCode>
                <c:ptCount val="2"/>
                <c:pt idx="0">
                  <c:v>0</c:v>
                </c:pt>
                <c:pt idx="1">
                  <c:v>0</c:v>
                </c:pt>
              </c:numCache>
            </c:numRef>
          </c:val>
          <c:extLst>
            <c:ext xmlns:c16="http://schemas.microsoft.com/office/drawing/2014/chart" uri="{C3380CC4-5D6E-409C-BE32-E72D297353CC}">
              <c16:uniqueId val="{00000002-220D-4911-9782-DC2672E95722}"/>
            </c:ext>
          </c:extLst>
        </c:ser>
        <c:ser>
          <c:idx val="3"/>
          <c:order val="3"/>
          <c:tx>
            <c:strRef>
              <c:f>Model!$B$91</c:f>
              <c:strCache>
                <c:ptCount val="1"/>
                <c:pt idx="0">
                  <c:v>Deployment OpEx</c:v>
                </c:pt>
              </c:strCache>
            </c:strRef>
          </c:tx>
          <c:spPr>
            <a:solidFill>
              <a:schemeClr val="accent6"/>
            </a:solidFill>
            <a:ln>
              <a:noFill/>
            </a:ln>
            <a:effectLst/>
          </c:spPr>
          <c:invertIfNegative val="0"/>
          <c:cat>
            <c:strRef>
              <c:f>(Model!$B$2,Model!$I$2)</c:f>
              <c:strCache>
                <c:ptCount val="2"/>
                <c:pt idx="0">
                  <c:v>Terrestrial Data Center</c:v>
                </c:pt>
                <c:pt idx="1">
                  <c:v>Orbital Data Center</c:v>
                </c:pt>
              </c:strCache>
            </c:strRef>
          </c:cat>
          <c:val>
            <c:numRef>
              <c:f>(Model!$E$91,Model!$L$91)</c:f>
              <c:numCache>
                <c:formatCode>_("$"* #,##0_);_("$"* \(#,##0\);_("$"* "-"??_);_(@_)</c:formatCode>
                <c:ptCount val="2"/>
                <c:pt idx="0">
                  <c:v>6908.689090036486</c:v>
                </c:pt>
                <c:pt idx="1">
                  <c:v>2718.1305630983297</c:v>
                </c:pt>
              </c:numCache>
            </c:numRef>
          </c:val>
          <c:extLst>
            <c:ext xmlns:c16="http://schemas.microsoft.com/office/drawing/2014/chart" uri="{C3380CC4-5D6E-409C-BE32-E72D297353CC}">
              <c16:uniqueId val="{00000003-220D-4911-9782-DC2672E95722}"/>
            </c:ext>
          </c:extLst>
        </c:ser>
        <c:dLbls>
          <c:showLegendKey val="0"/>
          <c:showVal val="0"/>
          <c:showCatName val="0"/>
          <c:showSerName val="0"/>
          <c:showPercent val="0"/>
          <c:showBubbleSize val="0"/>
        </c:dLbls>
        <c:gapWidth val="150"/>
        <c:overlap val="100"/>
        <c:axId val="826054400"/>
        <c:axId val="826058240"/>
      </c:barChart>
      <c:catAx>
        <c:axId val="82605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8240"/>
        <c:crosses val="autoZero"/>
        <c:auto val="1"/>
        <c:lblAlgn val="ctr"/>
        <c:lblOffset val="100"/>
        <c:noMultiLvlLbl val="0"/>
      </c:catAx>
      <c:valAx>
        <c:axId val="8260582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 Cash Flow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lineChart>
        <c:grouping val="standard"/>
        <c:varyColors val="0"/>
        <c:ser>
          <c:idx val="0"/>
          <c:order val="0"/>
          <c:tx>
            <c:strRef>
              <c:f>Model!$B$2</c:f>
              <c:strCache>
                <c:ptCount val="1"/>
                <c:pt idx="0">
                  <c:v>Terrestrial Data Center</c:v>
                </c:pt>
              </c:strCache>
            </c:strRef>
          </c:tx>
          <c:spPr>
            <a:ln w="28575" cap="rnd">
              <a:solidFill>
                <a:schemeClr val="accent3"/>
              </a:solidFill>
              <a:round/>
            </a:ln>
            <a:effectLst/>
          </c:spPr>
          <c:marker>
            <c:symbol val="none"/>
          </c:marker>
          <c:val>
            <c:numRef>
              <c:f>'Tabular Data for Plots'!$I$33:$I$52</c:f>
              <c:numCache>
                <c:formatCode>_("$"* #,##0.0_);_("$"* \(#,##0.0\);_("$"* "-"??_);_(@_)</c:formatCode>
                <c:ptCount val="20"/>
                <c:pt idx="0">
                  <c:v>31600982035.906143</c:v>
                </c:pt>
                <c:pt idx="1">
                  <c:v>63610858940.790222</c:v>
                </c:pt>
                <c:pt idx="2">
                  <c:v>69577606972.966003</c:v>
                </c:pt>
                <c:pt idx="3">
                  <c:v>75001923365.853073</c:v>
                </c:pt>
                <c:pt idx="4">
                  <c:v>79933120086.6595</c:v>
                </c:pt>
                <c:pt idx="5">
                  <c:v>84416026196.483521</c:v>
                </c:pt>
                <c:pt idx="6">
                  <c:v>88491395387.232635</c:v>
                </c:pt>
                <c:pt idx="7">
                  <c:v>92196276469.731827</c:v>
                </c:pt>
                <c:pt idx="8">
                  <c:v>95564350181.094727</c:v>
                </c:pt>
                <c:pt idx="9">
                  <c:v>98626235373.242828</c:v>
                </c:pt>
                <c:pt idx="10">
                  <c:v>101409767366.10474</c:v>
                </c:pt>
                <c:pt idx="11">
                  <c:v>103940250995.97919</c:v>
                </c:pt>
                <c:pt idx="12">
                  <c:v>106240690659.50142</c:v>
                </c:pt>
                <c:pt idx="13">
                  <c:v>108331999444.52164</c:v>
                </c:pt>
                <c:pt idx="14">
                  <c:v>110233189249.08546</c:v>
                </c:pt>
                <c:pt idx="15">
                  <c:v>111961543616.87076</c:v>
                </c:pt>
                <c:pt idx="16">
                  <c:v>113532774860.31194</c:v>
                </c:pt>
                <c:pt idx="17">
                  <c:v>114961166899.80392</c:v>
                </c:pt>
                <c:pt idx="18">
                  <c:v>116259705117.52391</c:v>
                </c:pt>
                <c:pt idx="19">
                  <c:v>117440194406.36026</c:v>
                </c:pt>
              </c:numCache>
            </c:numRef>
          </c:val>
          <c:smooth val="0"/>
          <c:extLst>
            <c:ext xmlns:c16="http://schemas.microsoft.com/office/drawing/2014/chart" uri="{C3380CC4-5D6E-409C-BE32-E72D297353CC}">
              <c16:uniqueId val="{00000000-D957-4954-961B-780C90E460F2}"/>
            </c:ext>
          </c:extLst>
        </c:ser>
        <c:ser>
          <c:idx val="1"/>
          <c:order val="1"/>
          <c:tx>
            <c:strRef>
              <c:f>Model!$I$2</c:f>
              <c:strCache>
                <c:ptCount val="1"/>
                <c:pt idx="0">
                  <c:v>Orbital Data Center</c:v>
                </c:pt>
              </c:strCache>
            </c:strRef>
          </c:tx>
          <c:spPr>
            <a:ln w="28575" cap="rnd">
              <a:solidFill>
                <a:schemeClr val="accent2"/>
              </a:solidFill>
              <a:round/>
            </a:ln>
            <a:effectLst/>
          </c:spPr>
          <c:marker>
            <c:symbol val="none"/>
          </c:marker>
          <c:val>
            <c:numRef>
              <c:f>'Tabular Data for Plots'!$U$33:$U$52</c:f>
              <c:numCache>
                <c:formatCode>_("$"* #,##0.0_);_("$"* \(#,##0.0\);_("$"* "-"??_);_(@_)</c:formatCode>
                <c:ptCount val="20"/>
                <c:pt idx="0">
                  <c:v>32065640743.780891</c:v>
                </c:pt>
                <c:pt idx="1">
                  <c:v>63204896202.861786</c:v>
                </c:pt>
                <c:pt idx="2">
                  <c:v>93321194769.966812</c:v>
                </c:pt>
                <c:pt idx="3">
                  <c:v>98251788897.408051</c:v>
                </c:pt>
                <c:pt idx="4">
                  <c:v>102734147195.08191</c:v>
                </c:pt>
                <c:pt idx="5">
                  <c:v>106809018374.78542</c:v>
                </c:pt>
                <c:pt idx="6">
                  <c:v>110513446719.97043</c:v>
                </c:pt>
                <c:pt idx="7">
                  <c:v>113881108851.9568</c:v>
                </c:pt>
                <c:pt idx="8">
                  <c:v>116942619881.03532</c:v>
                </c:pt>
                <c:pt idx="9">
                  <c:v>119725811725.65216</c:v>
                </c:pt>
                <c:pt idx="10">
                  <c:v>122255986129.84927</c:v>
                </c:pt>
                <c:pt idx="11">
                  <c:v>124556144679.11938</c:v>
                </c:pt>
                <c:pt idx="12">
                  <c:v>126647197905.72858</c:v>
                </c:pt>
                <c:pt idx="13">
                  <c:v>128548155384.4642</c:v>
                </c:pt>
                <c:pt idx="14">
                  <c:v>130276298546.95114</c:v>
                </c:pt>
                <c:pt idx="15">
                  <c:v>131847337785.57562</c:v>
                </c:pt>
                <c:pt idx="16">
                  <c:v>133275555275.23425</c:v>
                </c:pt>
                <c:pt idx="17">
                  <c:v>134573934811.28755</c:v>
                </c:pt>
                <c:pt idx="18">
                  <c:v>135754279844.06328</c:v>
                </c:pt>
                <c:pt idx="19">
                  <c:v>136827320782.9503</c:v>
                </c:pt>
              </c:numCache>
            </c:numRef>
          </c:val>
          <c:smooth val="0"/>
          <c:extLst>
            <c:ext xmlns:c16="http://schemas.microsoft.com/office/drawing/2014/chart" uri="{C3380CC4-5D6E-409C-BE32-E72D297353CC}">
              <c16:uniqueId val="{00000001-D957-4954-961B-780C90E460F2}"/>
            </c:ext>
          </c:extLst>
        </c:ser>
        <c:dLbls>
          <c:showLegendKey val="0"/>
          <c:showVal val="0"/>
          <c:showCatName val="0"/>
          <c:showSerName val="0"/>
          <c:showPercent val="0"/>
          <c:showBubbleSize val="0"/>
        </c:dLbls>
        <c:smooth val="0"/>
        <c:axId val="1273181520"/>
        <c:axId val="1273183920"/>
      </c:lineChart>
      <c:catAx>
        <c:axId val="1273181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Time Horizon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83920"/>
        <c:crosses val="autoZero"/>
        <c:auto val="1"/>
        <c:lblAlgn val="ctr"/>
        <c:lblOffset val="100"/>
        <c:noMultiLvlLbl val="0"/>
      </c:catAx>
      <c:valAx>
        <c:axId val="1273183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a:t>
                </a:r>
                <a:r>
                  <a:rPr lang="en-US" baseline="0"/>
                  <a:t> Cash Flow</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81520"/>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Compute Performance and NPV of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2"/>
          <c:order val="2"/>
          <c:tx>
            <c:v>TDC Compute Performance</c:v>
          </c:tx>
          <c:spPr>
            <a:solidFill>
              <a:schemeClr val="accent3"/>
            </a:solidFill>
            <a:ln>
              <a:noFill/>
            </a:ln>
            <a:effectLst/>
          </c:spPr>
          <c:invertIfNegative val="0"/>
          <c:val>
            <c:numRef>
              <c:f>'Tabular Data for Plots'!$N$33:$N$52</c:f>
              <c:numCache>
                <c:formatCode>_(* #,##0.0_);_(* \(#,##0.0\);_(* "-"??_);_(@_)</c:formatCode>
                <c:ptCount val="20"/>
                <c:pt idx="0">
                  <c:v>2198.952879581152</c:v>
                </c:pt>
                <c:pt idx="1">
                  <c:v>4397.9057591623041</c:v>
                </c:pt>
                <c:pt idx="2">
                  <c:v>4397.9057591623041</c:v>
                </c:pt>
                <c:pt idx="3">
                  <c:v>4397.9057591623041</c:v>
                </c:pt>
                <c:pt idx="4">
                  <c:v>9895.2879581151828</c:v>
                </c:pt>
                <c:pt idx="5">
                  <c:v>9895.2879581151828</c:v>
                </c:pt>
                <c:pt idx="6">
                  <c:v>9895.2879581151828</c:v>
                </c:pt>
                <c:pt idx="7">
                  <c:v>9895.2879581151828</c:v>
                </c:pt>
                <c:pt idx="8">
                  <c:v>9895.2879581151828</c:v>
                </c:pt>
                <c:pt idx="9">
                  <c:v>22264.397905759164</c:v>
                </c:pt>
                <c:pt idx="10">
                  <c:v>22264.397905759164</c:v>
                </c:pt>
                <c:pt idx="11">
                  <c:v>22264.397905759164</c:v>
                </c:pt>
                <c:pt idx="12">
                  <c:v>22264.397905759164</c:v>
                </c:pt>
                <c:pt idx="13">
                  <c:v>22264.397905759164</c:v>
                </c:pt>
                <c:pt idx="14">
                  <c:v>75142.342931937164</c:v>
                </c:pt>
                <c:pt idx="15">
                  <c:v>75142.342931937164</c:v>
                </c:pt>
                <c:pt idx="16">
                  <c:v>75142.342931937164</c:v>
                </c:pt>
                <c:pt idx="17">
                  <c:v>75142.342931937164</c:v>
                </c:pt>
                <c:pt idx="18">
                  <c:v>75142.342931937164</c:v>
                </c:pt>
                <c:pt idx="19">
                  <c:v>169070.27159685866</c:v>
                </c:pt>
              </c:numCache>
            </c:numRef>
          </c:val>
          <c:extLst>
            <c:ext xmlns:c16="http://schemas.microsoft.com/office/drawing/2014/chart" uri="{C3380CC4-5D6E-409C-BE32-E72D297353CC}">
              <c16:uniqueId val="{00000000-AE54-499E-823D-8EEC2A12F130}"/>
            </c:ext>
          </c:extLst>
        </c:ser>
        <c:ser>
          <c:idx val="3"/>
          <c:order val="3"/>
          <c:tx>
            <c:v>ODC Compute Performance</c:v>
          </c:tx>
          <c:spPr>
            <a:solidFill>
              <a:schemeClr val="accent2"/>
            </a:solidFill>
            <a:ln>
              <a:noFill/>
            </a:ln>
            <a:effectLst/>
          </c:spPr>
          <c:invertIfNegative val="0"/>
          <c:val>
            <c:numRef>
              <c:f>'Tabular Data for Plots'!$Z$33:$Z$52</c:f>
              <c:numCache>
                <c:formatCode>_(* #,##0.0_);_(* \(#,##0.0\);_(* "-"??_);_(@_)</c:formatCode>
                <c:ptCount val="20"/>
                <c:pt idx="0">
                  <c:v>1465.9685863874345</c:v>
                </c:pt>
                <c:pt idx="1">
                  <c:v>2931.9371727748689</c:v>
                </c:pt>
                <c:pt idx="2">
                  <c:v>4397.9057591623041</c:v>
                </c:pt>
                <c:pt idx="3">
                  <c:v>4397.9057591623041</c:v>
                </c:pt>
                <c:pt idx="4">
                  <c:v>9895.2879581151828</c:v>
                </c:pt>
                <c:pt idx="5">
                  <c:v>9895.2879581151828</c:v>
                </c:pt>
                <c:pt idx="6">
                  <c:v>9895.2879581151828</c:v>
                </c:pt>
                <c:pt idx="7">
                  <c:v>9895.2879581151828</c:v>
                </c:pt>
                <c:pt idx="8">
                  <c:v>9895.2879581151828</c:v>
                </c:pt>
                <c:pt idx="9">
                  <c:v>22264.397905759164</c:v>
                </c:pt>
                <c:pt idx="10">
                  <c:v>22264.397905759164</c:v>
                </c:pt>
                <c:pt idx="11">
                  <c:v>22264.397905759164</c:v>
                </c:pt>
                <c:pt idx="12">
                  <c:v>22264.397905759164</c:v>
                </c:pt>
                <c:pt idx="13">
                  <c:v>22264.397905759164</c:v>
                </c:pt>
                <c:pt idx="14">
                  <c:v>75142.342931937164</c:v>
                </c:pt>
                <c:pt idx="15">
                  <c:v>75142.342931937164</c:v>
                </c:pt>
                <c:pt idx="16">
                  <c:v>75142.342931937164</c:v>
                </c:pt>
                <c:pt idx="17">
                  <c:v>75142.342931937164</c:v>
                </c:pt>
                <c:pt idx="18">
                  <c:v>75142.342931937164</c:v>
                </c:pt>
                <c:pt idx="19">
                  <c:v>169070.27159685866</c:v>
                </c:pt>
              </c:numCache>
            </c:numRef>
          </c:val>
          <c:extLst>
            <c:ext xmlns:c16="http://schemas.microsoft.com/office/drawing/2014/chart" uri="{C3380CC4-5D6E-409C-BE32-E72D297353CC}">
              <c16:uniqueId val="{00000001-AE54-499E-823D-8EEC2A12F130}"/>
            </c:ext>
          </c:extLst>
        </c:ser>
        <c:dLbls>
          <c:showLegendKey val="0"/>
          <c:showVal val="0"/>
          <c:showCatName val="0"/>
          <c:showSerName val="0"/>
          <c:showPercent val="0"/>
          <c:showBubbleSize val="0"/>
        </c:dLbls>
        <c:gapWidth val="150"/>
        <c:axId val="1004883711"/>
        <c:axId val="1004509727"/>
      </c:barChart>
      <c:lineChart>
        <c:grouping val="standard"/>
        <c:varyColors val="0"/>
        <c:ser>
          <c:idx val="0"/>
          <c:order val="0"/>
          <c:tx>
            <c:v>TDC Cumulative Cash Flow</c:v>
          </c:tx>
          <c:spPr>
            <a:ln w="28575" cap="rnd">
              <a:solidFill>
                <a:schemeClr val="accent4"/>
              </a:solidFill>
              <a:round/>
            </a:ln>
            <a:effectLst/>
          </c:spPr>
          <c:marker>
            <c:symbol val="none"/>
          </c:marker>
          <c:val>
            <c:numRef>
              <c:f>'Tabular Data for Plots'!$I$33:$I$52</c:f>
              <c:numCache>
                <c:formatCode>_("$"* #,##0.0_);_("$"* \(#,##0.0\);_("$"* "-"??_);_(@_)</c:formatCode>
                <c:ptCount val="20"/>
                <c:pt idx="0">
                  <c:v>31600982035.906143</c:v>
                </c:pt>
                <c:pt idx="1">
                  <c:v>63610858940.790222</c:v>
                </c:pt>
                <c:pt idx="2">
                  <c:v>69577606972.966003</c:v>
                </c:pt>
                <c:pt idx="3">
                  <c:v>75001923365.853073</c:v>
                </c:pt>
                <c:pt idx="4">
                  <c:v>79933120086.6595</c:v>
                </c:pt>
                <c:pt idx="5">
                  <c:v>84416026196.483521</c:v>
                </c:pt>
                <c:pt idx="6">
                  <c:v>88491395387.232635</c:v>
                </c:pt>
                <c:pt idx="7">
                  <c:v>92196276469.731827</c:v>
                </c:pt>
                <c:pt idx="8">
                  <c:v>95564350181.094727</c:v>
                </c:pt>
                <c:pt idx="9">
                  <c:v>98626235373.242828</c:v>
                </c:pt>
                <c:pt idx="10">
                  <c:v>101409767366.10474</c:v>
                </c:pt>
                <c:pt idx="11">
                  <c:v>103940250995.97919</c:v>
                </c:pt>
                <c:pt idx="12">
                  <c:v>106240690659.50142</c:v>
                </c:pt>
                <c:pt idx="13">
                  <c:v>108331999444.52164</c:v>
                </c:pt>
                <c:pt idx="14">
                  <c:v>110233189249.08546</c:v>
                </c:pt>
                <c:pt idx="15">
                  <c:v>111961543616.87076</c:v>
                </c:pt>
                <c:pt idx="16">
                  <c:v>113532774860.31194</c:v>
                </c:pt>
                <c:pt idx="17">
                  <c:v>114961166899.80392</c:v>
                </c:pt>
                <c:pt idx="18">
                  <c:v>116259705117.52391</c:v>
                </c:pt>
                <c:pt idx="19">
                  <c:v>117440194406.36026</c:v>
                </c:pt>
              </c:numCache>
            </c:numRef>
          </c:val>
          <c:smooth val="0"/>
          <c:extLst>
            <c:ext xmlns:c16="http://schemas.microsoft.com/office/drawing/2014/chart" uri="{C3380CC4-5D6E-409C-BE32-E72D297353CC}">
              <c16:uniqueId val="{00000002-AE54-499E-823D-8EEC2A12F130}"/>
            </c:ext>
          </c:extLst>
        </c:ser>
        <c:ser>
          <c:idx val="1"/>
          <c:order val="1"/>
          <c:tx>
            <c:v>ODC Cumulative Cash Flow</c:v>
          </c:tx>
          <c:spPr>
            <a:ln w="28575" cap="rnd">
              <a:solidFill>
                <a:schemeClr val="accent6"/>
              </a:solidFill>
              <a:round/>
            </a:ln>
            <a:effectLst/>
          </c:spPr>
          <c:marker>
            <c:symbol val="none"/>
          </c:marker>
          <c:val>
            <c:numRef>
              <c:f>'Tabular Data for Plots'!$U$33:$U$52</c:f>
              <c:numCache>
                <c:formatCode>_("$"* #,##0.0_);_("$"* \(#,##0.0\);_("$"* "-"??_);_(@_)</c:formatCode>
                <c:ptCount val="20"/>
                <c:pt idx="0">
                  <c:v>32065640743.780891</c:v>
                </c:pt>
                <c:pt idx="1">
                  <c:v>63204896202.861786</c:v>
                </c:pt>
                <c:pt idx="2">
                  <c:v>93321194769.966812</c:v>
                </c:pt>
                <c:pt idx="3">
                  <c:v>98251788897.408051</c:v>
                </c:pt>
                <c:pt idx="4">
                  <c:v>102734147195.08191</c:v>
                </c:pt>
                <c:pt idx="5">
                  <c:v>106809018374.78542</c:v>
                </c:pt>
                <c:pt idx="6">
                  <c:v>110513446719.97043</c:v>
                </c:pt>
                <c:pt idx="7">
                  <c:v>113881108851.9568</c:v>
                </c:pt>
                <c:pt idx="8">
                  <c:v>116942619881.03532</c:v>
                </c:pt>
                <c:pt idx="9">
                  <c:v>119725811725.65216</c:v>
                </c:pt>
                <c:pt idx="10">
                  <c:v>122255986129.84927</c:v>
                </c:pt>
                <c:pt idx="11">
                  <c:v>124556144679.11938</c:v>
                </c:pt>
                <c:pt idx="12">
                  <c:v>126647197905.72858</c:v>
                </c:pt>
                <c:pt idx="13">
                  <c:v>128548155384.4642</c:v>
                </c:pt>
                <c:pt idx="14">
                  <c:v>130276298546.95114</c:v>
                </c:pt>
                <c:pt idx="15">
                  <c:v>131847337785.57562</c:v>
                </c:pt>
                <c:pt idx="16">
                  <c:v>133275555275.23425</c:v>
                </c:pt>
                <c:pt idx="17">
                  <c:v>134573934811.28755</c:v>
                </c:pt>
                <c:pt idx="18">
                  <c:v>135754279844.06328</c:v>
                </c:pt>
                <c:pt idx="19">
                  <c:v>136827320782.9503</c:v>
                </c:pt>
              </c:numCache>
            </c:numRef>
          </c:val>
          <c:smooth val="0"/>
          <c:extLst>
            <c:ext xmlns:c16="http://schemas.microsoft.com/office/drawing/2014/chart" uri="{C3380CC4-5D6E-409C-BE32-E72D297353CC}">
              <c16:uniqueId val="{00000003-AE54-499E-823D-8EEC2A12F130}"/>
            </c:ext>
          </c:extLst>
        </c:ser>
        <c:dLbls>
          <c:showLegendKey val="0"/>
          <c:showVal val="0"/>
          <c:showCatName val="0"/>
          <c:showSerName val="0"/>
          <c:showPercent val="0"/>
          <c:showBubbleSize val="0"/>
        </c:dLbls>
        <c:marker val="1"/>
        <c:smooth val="0"/>
        <c:axId val="920132831"/>
        <c:axId val="927696383"/>
      </c:lineChart>
      <c:catAx>
        <c:axId val="92013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7696383"/>
        <c:crosses val="autoZero"/>
        <c:auto val="1"/>
        <c:lblAlgn val="ctr"/>
        <c:lblOffset val="100"/>
        <c:noMultiLvlLbl val="0"/>
      </c:catAx>
      <c:valAx>
        <c:axId val="927696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 Cash Burn [$NPV]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0132831"/>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valAx>
        <c:axId val="100450972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Compute Performance [EFLOPS]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 #,##0.0_);_(* \(#,##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004883711"/>
        <c:crosses val="max"/>
        <c:crossBetween val="between"/>
      </c:valAx>
      <c:catAx>
        <c:axId val="1004883711"/>
        <c:scaling>
          <c:orientation val="minMax"/>
        </c:scaling>
        <c:delete val="1"/>
        <c:axPos val="b"/>
        <c:majorTickMark val="out"/>
        <c:minorTickMark val="none"/>
        <c:tickLblPos val="nextTo"/>
        <c:crossAx val="10045097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vs. ODC Capital Efficiency Comparison</a:t>
            </a:r>
            <a:br>
              <a:rPr lang="en-US"/>
            </a:br>
            <a:r>
              <a:rPr lang="en-US"/>
              <a:t>Compute per Cumulative Dollar over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2"/>
          <c:order val="2"/>
          <c:tx>
            <c:v>ODC vs. TDC Efficiency Margin</c:v>
          </c:tx>
          <c:spPr>
            <a:solidFill>
              <a:schemeClr val="accent6"/>
            </a:solidFill>
            <a:ln>
              <a:noFill/>
            </a:ln>
            <a:effectLst/>
          </c:spPr>
          <c:invertIfNegative val="0"/>
          <c:val>
            <c:numRef>
              <c:f>'Tabular Data for Plots'!$AC$33:$AC$52</c:f>
              <c:numCache>
                <c:formatCode>0%</c:formatCode>
                <c:ptCount val="20"/>
                <c:pt idx="0">
                  <c:v>-0.3429939066052578</c:v>
                </c:pt>
                <c:pt idx="1">
                  <c:v>-0.32905135770256944</c:v>
                </c:pt>
                <c:pt idx="2">
                  <c:v>-0.25442867352403525</c:v>
                </c:pt>
                <c:pt idx="3">
                  <c:v>-0.23663554417143365</c:v>
                </c:pt>
                <c:pt idx="4">
                  <c:v>-0.22194204878272383</c:v>
                </c:pt>
                <c:pt idx="5">
                  <c:v>-0.2096545078218624</c:v>
                </c:pt>
                <c:pt idx="6">
                  <c:v>-0.19927033303503219</c:v>
                </c:pt>
                <c:pt idx="7">
                  <c:v>-0.19041641410793447</c:v>
                </c:pt>
                <c:pt idx="8">
                  <c:v>-0.18280990901083394</c:v>
                </c:pt>
                <c:pt idx="9">
                  <c:v>-0.17623247692618127</c:v>
                </c:pt>
                <c:pt idx="10">
                  <c:v>-0.1705128674975766</c:v>
                </c:pt>
                <c:pt idx="11">
                  <c:v>-0.16551486669927612</c:v>
                </c:pt>
                <c:pt idx="12">
                  <c:v>-0.16112877018737506</c:v>
                </c:pt>
                <c:pt idx="13">
                  <c:v>-0.15726523558023614</c:v>
                </c:pt>
                <c:pt idx="14">
                  <c:v>-0.15385077348234777</c:v>
                </c:pt>
                <c:pt idx="15">
                  <c:v>-0.15082438904489154</c:v>
                </c:pt>
                <c:pt idx="16">
                  <c:v>-0.14813504527631097</c:v>
                </c:pt>
                <c:pt idx="17">
                  <c:v>-0.14573972247290329</c:v>
                </c:pt>
                <c:pt idx="18">
                  <c:v>-0.14360191626320881</c:v>
                </c:pt>
                <c:pt idx="19">
                  <c:v>-0.14169046258929455</c:v>
                </c:pt>
              </c:numCache>
            </c:numRef>
          </c:val>
          <c:extLst>
            <c:ext xmlns:c16="http://schemas.microsoft.com/office/drawing/2014/chart" uri="{C3380CC4-5D6E-409C-BE32-E72D297353CC}">
              <c16:uniqueId val="{00000000-6DF5-43C2-84A6-BAA44622D084}"/>
            </c:ext>
          </c:extLst>
        </c:ser>
        <c:dLbls>
          <c:showLegendKey val="0"/>
          <c:showVal val="0"/>
          <c:showCatName val="0"/>
          <c:showSerName val="0"/>
          <c:showPercent val="0"/>
          <c:showBubbleSize val="0"/>
        </c:dLbls>
        <c:gapWidth val="150"/>
        <c:axId val="1273151824"/>
        <c:axId val="1273148944"/>
      </c:barChart>
      <c:lineChart>
        <c:grouping val="standard"/>
        <c:varyColors val="0"/>
        <c:ser>
          <c:idx val="0"/>
          <c:order val="0"/>
          <c:tx>
            <c:v>TDC Capital Efficiency</c:v>
          </c:tx>
          <c:spPr>
            <a:ln w="28575" cap="rnd">
              <a:solidFill>
                <a:schemeClr val="accent3"/>
              </a:solidFill>
              <a:round/>
            </a:ln>
            <a:effectLst/>
          </c:spPr>
          <c:marker>
            <c:symbol val="none"/>
          </c:marker>
          <c:val>
            <c:numRef>
              <c:f>'Tabular Data for Plots'!$O$33:$O$52</c:f>
              <c:numCache>
                <c:formatCode>_(* #,##0.0_);_(* \(#,##0.0\);_(* "-"??_);_(@_)</c:formatCode>
                <c:ptCount val="20"/>
                <c:pt idx="0">
                  <c:v>69.584953944868701</c:v>
                </c:pt>
                <c:pt idx="1">
                  <c:v>69.137657192397441</c:v>
                </c:pt>
                <c:pt idx="2">
                  <c:v>63.208637814621675</c:v>
                </c:pt>
                <c:pt idx="3">
                  <c:v>58.637239710636351</c:v>
                </c:pt>
                <c:pt idx="4">
                  <c:v>123.79459162093517</c:v>
                </c:pt>
                <c:pt idx="5">
                  <c:v>117.22049004158629</c:v>
                </c:pt>
                <c:pt idx="6">
                  <c:v>111.82203551897946</c:v>
                </c:pt>
                <c:pt idx="7">
                  <c:v>107.32849890487519</c:v>
                </c:pt>
                <c:pt idx="8">
                  <c:v>103.54580907381867</c:v>
                </c:pt>
                <c:pt idx="9">
                  <c:v>225.7451865773989</c:v>
                </c:pt>
                <c:pt idx="10">
                  <c:v>219.54885100348659</c:v>
                </c:pt>
                <c:pt idx="11">
                  <c:v>214.20381125133551</c:v>
                </c:pt>
                <c:pt idx="12">
                  <c:v>209.56563598702465</c:v>
                </c:pt>
                <c:pt idx="13">
                  <c:v>205.52004966142141</c:v>
                </c:pt>
                <c:pt idx="14">
                  <c:v>681.66714075688935</c:v>
                </c:pt>
                <c:pt idx="15">
                  <c:v>671.14422063590109</c:v>
                </c:pt>
                <c:pt idx="16">
                  <c:v>661.85595326451369</c:v>
                </c:pt>
                <c:pt idx="17">
                  <c:v>653.63239568913355</c:v>
                </c:pt>
                <c:pt idx="18">
                  <c:v>646.33178671817313</c:v>
                </c:pt>
                <c:pt idx="19">
                  <c:v>1439.628676123021</c:v>
                </c:pt>
              </c:numCache>
            </c:numRef>
          </c:val>
          <c:smooth val="0"/>
          <c:extLst>
            <c:ext xmlns:c16="http://schemas.microsoft.com/office/drawing/2014/chart" uri="{C3380CC4-5D6E-409C-BE32-E72D297353CC}">
              <c16:uniqueId val="{00000001-6DF5-43C2-84A6-BAA44622D084}"/>
            </c:ext>
          </c:extLst>
        </c:ser>
        <c:ser>
          <c:idx val="1"/>
          <c:order val="1"/>
          <c:tx>
            <c:v>ODC Capital Efficiency</c:v>
          </c:tx>
          <c:spPr>
            <a:ln w="28575" cap="rnd">
              <a:solidFill>
                <a:schemeClr val="accent2"/>
              </a:solidFill>
              <a:round/>
            </a:ln>
            <a:effectLst/>
          </c:spPr>
          <c:marker>
            <c:symbol val="none"/>
          </c:marker>
          <c:val>
            <c:numRef>
              <c:f>'Tabular Data for Plots'!$AA$33:$AA$52</c:f>
              <c:numCache>
                <c:formatCode>_(* #,##0.0_);_(* \(#,##0.0\);_(* "-"??_);_(@_)</c:formatCode>
                <c:ptCount val="20"/>
                <c:pt idx="0">
                  <c:v>45.71773875037124</c:v>
                </c:pt>
                <c:pt idx="1">
                  <c:v>46.38781722486425</c:v>
                </c:pt>
                <c:pt idx="2">
                  <c:v>47.126547940186306</c:v>
                </c:pt>
                <c:pt idx="3">
                  <c:v>44.76158458299912</c:v>
                </c:pt>
                <c:pt idx="4">
                  <c:v>96.319366328364197</c:v>
                </c:pt>
                <c:pt idx="5">
                  <c:v>92.644685895279991</c:v>
                </c:pt>
                <c:pt idx="6">
                  <c:v>89.539221260457225</c:v>
                </c:pt>
                <c:pt idx="7">
                  <c:v>86.891391011821483</c:v>
                </c:pt>
                <c:pt idx="8">
                  <c:v>84.616609138580699</c:v>
                </c:pt>
                <c:pt idx="9">
                  <c:v>185.96155319270096</c:v>
                </c:pt>
                <c:pt idx="10">
                  <c:v>182.11294686308389</c:v>
                </c:pt>
                <c:pt idx="11">
                  <c:v>178.74989598559381</c:v>
                </c:pt>
                <c:pt idx="12">
                  <c:v>175.79858278690025</c:v>
                </c:pt>
                <c:pt idx="13">
                  <c:v>173.19889063495614</c:v>
                </c:pt>
                <c:pt idx="14">
                  <c:v>576.79212389394149</c:v>
                </c:pt>
                <c:pt idx="15">
                  <c:v>569.91930359748142</c:v>
                </c:pt>
                <c:pt idx="16">
                  <c:v>563.81189166127899</c:v>
                </c:pt>
                <c:pt idx="17">
                  <c:v>558.37219174210031</c:v>
                </c:pt>
                <c:pt idx="18">
                  <c:v>553.51730360361989</c:v>
                </c:pt>
                <c:pt idx="19">
                  <c:v>1235.6470230463365</c:v>
                </c:pt>
              </c:numCache>
            </c:numRef>
          </c:val>
          <c:smooth val="0"/>
          <c:extLst>
            <c:ext xmlns:c16="http://schemas.microsoft.com/office/drawing/2014/chart" uri="{C3380CC4-5D6E-409C-BE32-E72D297353CC}">
              <c16:uniqueId val="{00000002-6DF5-43C2-84A6-BAA44622D084}"/>
            </c:ext>
          </c:extLst>
        </c:ser>
        <c:dLbls>
          <c:showLegendKey val="0"/>
          <c:showVal val="0"/>
          <c:showCatName val="0"/>
          <c:showSerName val="0"/>
          <c:showPercent val="0"/>
          <c:showBubbleSize val="0"/>
        </c:dLbls>
        <c:marker val="1"/>
        <c:smooth val="0"/>
        <c:axId val="1133414384"/>
        <c:axId val="1133414864"/>
      </c:lineChart>
      <c:catAx>
        <c:axId val="11334143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133414864"/>
        <c:crosses val="autoZero"/>
        <c:auto val="1"/>
        <c:lblAlgn val="ctr"/>
        <c:lblOffset val="100"/>
        <c:noMultiLvlLbl val="0"/>
      </c:catAx>
      <c:valAx>
        <c:axId val="113341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Capital Efficiency [GLOPS per NPV of Cumulative $ Spent]</a:t>
                </a:r>
              </a:p>
            </c:rich>
          </c:tx>
          <c:layout>
            <c:manualLayout>
              <c:xMode val="edge"/>
              <c:yMode val="edge"/>
              <c:x val="1.8962780690215356E-2"/>
              <c:y val="0.1159042529100049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133414384"/>
        <c:crosses val="autoZero"/>
        <c:crossBetween val="between"/>
      </c:valAx>
      <c:valAx>
        <c:axId val="12731489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Efficiency relative to TDC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51824"/>
        <c:crosses val="max"/>
        <c:crossBetween val="between"/>
      </c:valAx>
      <c:catAx>
        <c:axId val="1273151824"/>
        <c:scaling>
          <c:orientation val="minMax"/>
        </c:scaling>
        <c:delete val="1"/>
        <c:axPos val="b"/>
        <c:majorTickMark val="out"/>
        <c:minorTickMark val="none"/>
        <c:tickLblPos val="nextTo"/>
        <c:crossAx val="1273148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a:t>
            </a:r>
            <a:r>
              <a:rPr lang="en-US" baseline="0"/>
              <a:t> Cash Flow</a:t>
            </a:r>
            <a:r>
              <a:rPr lang="en-US"/>
              <a:t>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lineChart>
        <c:grouping val="standard"/>
        <c:varyColors val="0"/>
        <c:ser>
          <c:idx val="0"/>
          <c:order val="0"/>
          <c:tx>
            <c:strRef>
              <c:f>Model!$B$2</c:f>
              <c:strCache>
                <c:ptCount val="1"/>
                <c:pt idx="0">
                  <c:v>Terrestrial Data Center</c:v>
                </c:pt>
              </c:strCache>
            </c:strRef>
          </c:tx>
          <c:spPr>
            <a:ln w="28575" cap="rnd">
              <a:solidFill>
                <a:schemeClr val="accent3"/>
              </a:solidFill>
              <a:round/>
            </a:ln>
            <a:effectLst/>
          </c:spPr>
          <c:marker>
            <c:symbol val="none"/>
          </c:marker>
          <c:val>
            <c:numRef>
              <c:f>'Tabular Data for Plots'!$I$59:$I$78</c:f>
              <c:numCache>
                <c:formatCode>_("$"* #,##0.0_);_("$"* \(#,##0.0\);_("$"* "-"??_);_(@_)</c:formatCode>
                <c:ptCount val="20"/>
                <c:pt idx="0">
                  <c:v>36860432158.258659</c:v>
                </c:pt>
                <c:pt idx="1">
                  <c:v>74122351888.510376</c:v>
                </c:pt>
                <c:pt idx="2">
                  <c:v>80944962706.722351</c:v>
                </c:pt>
                <c:pt idx="3">
                  <c:v>87147336177.824142</c:v>
                </c:pt>
                <c:pt idx="4">
                  <c:v>92785857515.189407</c:v>
                </c:pt>
                <c:pt idx="5">
                  <c:v>97911786003.703278</c:v>
                </c:pt>
                <c:pt idx="6">
                  <c:v>102571720993.26135</c:v>
                </c:pt>
                <c:pt idx="7">
                  <c:v>106808025529.22324</c:v>
                </c:pt>
                <c:pt idx="8">
                  <c:v>110659211471.00676</c:v>
                </c:pt>
                <c:pt idx="9">
                  <c:v>114160289599.90088</c:v>
                </c:pt>
                <c:pt idx="10">
                  <c:v>117343087898.89552</c:v>
                </c:pt>
                <c:pt idx="11">
                  <c:v>120236540897.98157</c:v>
                </c:pt>
                <c:pt idx="12">
                  <c:v>122866952715.33252</c:v>
                </c:pt>
                <c:pt idx="13">
                  <c:v>125258236185.65157</c:v>
                </c:pt>
                <c:pt idx="14">
                  <c:v>127432130249.57797</c:v>
                </c:pt>
                <c:pt idx="15">
                  <c:v>129408397580.42017</c:v>
                </c:pt>
                <c:pt idx="16">
                  <c:v>131205004244.82216</c:v>
                </c:pt>
                <c:pt idx="17">
                  <c:v>132838283030.64215</c:v>
                </c:pt>
                <c:pt idx="18">
                  <c:v>134323081926.84215</c:v>
                </c:pt>
                <c:pt idx="19">
                  <c:v>135672899105.20578</c:v>
                </c:pt>
              </c:numCache>
            </c:numRef>
          </c:val>
          <c:smooth val="0"/>
          <c:extLst>
            <c:ext xmlns:c16="http://schemas.microsoft.com/office/drawing/2014/chart" uri="{C3380CC4-5D6E-409C-BE32-E72D297353CC}">
              <c16:uniqueId val="{00000000-3862-4455-8D06-F2818C96F46B}"/>
            </c:ext>
          </c:extLst>
        </c:ser>
        <c:ser>
          <c:idx val="1"/>
          <c:order val="1"/>
          <c:tx>
            <c:strRef>
              <c:f>Model!$I$2</c:f>
              <c:strCache>
                <c:ptCount val="1"/>
                <c:pt idx="0">
                  <c:v>Orbital Data Center</c:v>
                </c:pt>
              </c:strCache>
            </c:strRef>
          </c:tx>
          <c:spPr>
            <a:ln w="28575" cap="rnd">
              <a:solidFill>
                <a:schemeClr val="accent2"/>
              </a:solidFill>
              <a:round/>
            </a:ln>
            <a:effectLst/>
          </c:spPr>
          <c:marker>
            <c:symbol val="none"/>
          </c:marker>
          <c:val>
            <c:numRef>
              <c:f>'Tabular Data for Plots'!$U$59:$U$78</c:f>
              <c:numCache>
                <c:formatCode>_("$"* #,##0.0_);_("$"* \(#,##0.0\);_("$"* "-"??_);_(@_)</c:formatCode>
                <c:ptCount val="20"/>
                <c:pt idx="0">
                  <c:v>62721479241.416985</c:v>
                </c:pt>
                <c:pt idx="1">
                  <c:v>65192507026.051826</c:v>
                </c:pt>
                <c:pt idx="2">
                  <c:v>67438895921.174416</c:v>
                </c:pt>
                <c:pt idx="3">
                  <c:v>69481067644.013123</c:v>
                </c:pt>
                <c:pt idx="4">
                  <c:v>71337587392.048325</c:v>
                </c:pt>
                <c:pt idx="5">
                  <c:v>73025332617.534866</c:v>
                </c:pt>
                <c:pt idx="6">
                  <c:v>74559646458.886261</c:v>
                </c:pt>
                <c:pt idx="7">
                  <c:v>75954477223.751175</c:v>
                </c:pt>
                <c:pt idx="8">
                  <c:v>77222505191.810181</c:v>
                </c:pt>
                <c:pt idx="9">
                  <c:v>78375257890.045639</c:v>
                </c:pt>
                <c:pt idx="10">
                  <c:v>79423214888.441513</c:v>
                </c:pt>
                <c:pt idx="11">
                  <c:v>80375903068.801392</c:v>
                </c:pt>
                <c:pt idx="12">
                  <c:v>81241983232.764923</c:v>
                </c:pt>
                <c:pt idx="13">
                  <c:v>82029328836.368134</c:v>
                </c:pt>
                <c:pt idx="14">
                  <c:v>82745097566.916504</c:v>
                </c:pt>
                <c:pt idx="15">
                  <c:v>83395796412.869568</c:v>
                </c:pt>
                <c:pt idx="16">
                  <c:v>83987340818.281448</c:v>
                </c:pt>
                <c:pt idx="17">
                  <c:v>84525108459.564972</c:v>
                </c:pt>
                <c:pt idx="18">
                  <c:v>85013988133.459091</c:v>
                </c:pt>
                <c:pt idx="19">
                  <c:v>85458424200.635559</c:v>
                </c:pt>
              </c:numCache>
            </c:numRef>
          </c:val>
          <c:smooth val="0"/>
          <c:extLst>
            <c:ext xmlns:c16="http://schemas.microsoft.com/office/drawing/2014/chart" uri="{C3380CC4-5D6E-409C-BE32-E72D297353CC}">
              <c16:uniqueId val="{00000001-3862-4455-8D06-F2818C96F46B}"/>
            </c:ext>
          </c:extLst>
        </c:ser>
        <c:dLbls>
          <c:showLegendKey val="0"/>
          <c:showVal val="0"/>
          <c:showCatName val="0"/>
          <c:showSerName val="0"/>
          <c:showPercent val="0"/>
          <c:showBubbleSize val="0"/>
        </c:dLbls>
        <c:smooth val="0"/>
        <c:axId val="1273181520"/>
        <c:axId val="1273183920"/>
      </c:lineChart>
      <c:catAx>
        <c:axId val="1273181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Time Horizon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83920"/>
        <c:crosses val="autoZero"/>
        <c:auto val="1"/>
        <c:lblAlgn val="ctr"/>
        <c:lblOffset val="100"/>
        <c:noMultiLvlLbl val="0"/>
      </c:catAx>
      <c:valAx>
        <c:axId val="1273183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 Cash Flow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81520"/>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Compute Performance and NPV of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2"/>
          <c:order val="2"/>
          <c:tx>
            <c:v>TDC Compute Performance</c:v>
          </c:tx>
          <c:spPr>
            <a:solidFill>
              <a:schemeClr val="accent3"/>
            </a:solidFill>
            <a:ln>
              <a:noFill/>
            </a:ln>
            <a:effectLst/>
          </c:spPr>
          <c:invertIfNegative val="0"/>
          <c:val>
            <c:numRef>
              <c:f>'Tabular Data for Plots'!$N$59:$N$78</c:f>
              <c:numCache>
                <c:formatCode>_(* #,##0.0_);_(* \(#,##0.0\);_(* "-"??_);_(@_)</c:formatCode>
                <c:ptCount val="20"/>
                <c:pt idx="0">
                  <c:v>6202.0905923344944</c:v>
                </c:pt>
                <c:pt idx="1">
                  <c:v>12404.181184668989</c:v>
                </c:pt>
                <c:pt idx="2">
                  <c:v>12404.181184668989</c:v>
                </c:pt>
                <c:pt idx="3">
                  <c:v>12404.181184668989</c:v>
                </c:pt>
                <c:pt idx="4">
                  <c:v>27909.407665505227</c:v>
                </c:pt>
                <c:pt idx="5">
                  <c:v>27909.407665505227</c:v>
                </c:pt>
                <c:pt idx="6">
                  <c:v>27909.407665505227</c:v>
                </c:pt>
                <c:pt idx="7">
                  <c:v>27909.407665505227</c:v>
                </c:pt>
                <c:pt idx="8">
                  <c:v>27909.407665505227</c:v>
                </c:pt>
                <c:pt idx="9">
                  <c:v>62796.167247386758</c:v>
                </c:pt>
                <c:pt idx="10">
                  <c:v>62796.167247386758</c:v>
                </c:pt>
                <c:pt idx="11">
                  <c:v>62796.167247386758</c:v>
                </c:pt>
                <c:pt idx="12">
                  <c:v>62796.167247386758</c:v>
                </c:pt>
                <c:pt idx="13">
                  <c:v>62796.167247386758</c:v>
                </c:pt>
                <c:pt idx="14">
                  <c:v>211937.06445993032</c:v>
                </c:pt>
                <c:pt idx="15">
                  <c:v>211937.06445993032</c:v>
                </c:pt>
                <c:pt idx="16">
                  <c:v>211937.06445993032</c:v>
                </c:pt>
                <c:pt idx="17">
                  <c:v>211937.06445993032</c:v>
                </c:pt>
                <c:pt idx="18">
                  <c:v>211937.06445993032</c:v>
                </c:pt>
                <c:pt idx="19">
                  <c:v>476858.39503484318</c:v>
                </c:pt>
              </c:numCache>
            </c:numRef>
          </c:val>
          <c:extLst>
            <c:ext xmlns:c16="http://schemas.microsoft.com/office/drawing/2014/chart" uri="{C3380CC4-5D6E-409C-BE32-E72D297353CC}">
              <c16:uniqueId val="{00000000-D987-4E74-9F16-1F8EF05EBC88}"/>
            </c:ext>
          </c:extLst>
        </c:ser>
        <c:ser>
          <c:idx val="3"/>
          <c:order val="3"/>
          <c:tx>
            <c:v>ODC Compute Performance</c:v>
          </c:tx>
          <c:spPr>
            <a:solidFill>
              <a:schemeClr val="accent2"/>
            </a:solidFill>
            <a:ln>
              <a:noFill/>
            </a:ln>
            <a:effectLst/>
          </c:spPr>
          <c:invertIfNegative val="0"/>
          <c:val>
            <c:numRef>
              <c:f>'Tabular Data for Plots'!$Z$59:$Z$78</c:f>
              <c:numCache>
                <c:formatCode>_(* #,##0.0_);_(* \(#,##0.0\);_(* "-"??_);_(@_)</c:formatCode>
                <c:ptCount val="20"/>
                <c:pt idx="0">
                  <c:v>12404.181184668989</c:v>
                </c:pt>
                <c:pt idx="1">
                  <c:v>12404.181184668989</c:v>
                </c:pt>
                <c:pt idx="2">
                  <c:v>12404.181184668989</c:v>
                </c:pt>
                <c:pt idx="3">
                  <c:v>12404.181184668989</c:v>
                </c:pt>
                <c:pt idx="4">
                  <c:v>27909.407665505227</c:v>
                </c:pt>
                <c:pt idx="5">
                  <c:v>27909.407665505227</c:v>
                </c:pt>
                <c:pt idx="6">
                  <c:v>27909.407665505227</c:v>
                </c:pt>
                <c:pt idx="7">
                  <c:v>27909.407665505227</c:v>
                </c:pt>
                <c:pt idx="8">
                  <c:v>27909.407665505227</c:v>
                </c:pt>
                <c:pt idx="9">
                  <c:v>62796.167247386758</c:v>
                </c:pt>
                <c:pt idx="10">
                  <c:v>62796.167247386758</c:v>
                </c:pt>
                <c:pt idx="11">
                  <c:v>62796.167247386758</c:v>
                </c:pt>
                <c:pt idx="12">
                  <c:v>62796.167247386758</c:v>
                </c:pt>
                <c:pt idx="13">
                  <c:v>62796.167247386758</c:v>
                </c:pt>
                <c:pt idx="14">
                  <c:v>211937.06445993032</c:v>
                </c:pt>
                <c:pt idx="15">
                  <c:v>211937.06445993032</c:v>
                </c:pt>
                <c:pt idx="16">
                  <c:v>211937.06445993032</c:v>
                </c:pt>
                <c:pt idx="17">
                  <c:v>211937.06445993032</c:v>
                </c:pt>
                <c:pt idx="18">
                  <c:v>211937.06445993032</c:v>
                </c:pt>
                <c:pt idx="19">
                  <c:v>476858.39503484318</c:v>
                </c:pt>
              </c:numCache>
            </c:numRef>
          </c:val>
          <c:extLst>
            <c:ext xmlns:c16="http://schemas.microsoft.com/office/drawing/2014/chart" uri="{C3380CC4-5D6E-409C-BE32-E72D297353CC}">
              <c16:uniqueId val="{00000001-D987-4E74-9F16-1F8EF05EBC88}"/>
            </c:ext>
          </c:extLst>
        </c:ser>
        <c:dLbls>
          <c:showLegendKey val="0"/>
          <c:showVal val="0"/>
          <c:showCatName val="0"/>
          <c:showSerName val="0"/>
          <c:showPercent val="0"/>
          <c:showBubbleSize val="0"/>
        </c:dLbls>
        <c:gapWidth val="150"/>
        <c:axId val="1004883711"/>
        <c:axId val="1004509727"/>
      </c:barChart>
      <c:lineChart>
        <c:grouping val="standard"/>
        <c:varyColors val="0"/>
        <c:ser>
          <c:idx val="0"/>
          <c:order val="0"/>
          <c:tx>
            <c:v>TDC Cumulative Cash Flow</c:v>
          </c:tx>
          <c:spPr>
            <a:ln w="28575" cap="rnd">
              <a:solidFill>
                <a:schemeClr val="accent4"/>
              </a:solidFill>
              <a:round/>
            </a:ln>
            <a:effectLst/>
          </c:spPr>
          <c:marker>
            <c:symbol val="none"/>
          </c:marker>
          <c:val>
            <c:numRef>
              <c:f>'Tabular Data for Plots'!$I$59:$I$78</c:f>
              <c:numCache>
                <c:formatCode>_("$"* #,##0.0_);_("$"* \(#,##0.0\);_("$"* "-"??_);_(@_)</c:formatCode>
                <c:ptCount val="20"/>
                <c:pt idx="0">
                  <c:v>36860432158.258659</c:v>
                </c:pt>
                <c:pt idx="1">
                  <c:v>74122351888.510376</c:v>
                </c:pt>
                <c:pt idx="2">
                  <c:v>80944962706.722351</c:v>
                </c:pt>
                <c:pt idx="3">
                  <c:v>87147336177.824142</c:v>
                </c:pt>
                <c:pt idx="4">
                  <c:v>92785857515.189407</c:v>
                </c:pt>
                <c:pt idx="5">
                  <c:v>97911786003.703278</c:v>
                </c:pt>
                <c:pt idx="6">
                  <c:v>102571720993.26135</c:v>
                </c:pt>
                <c:pt idx="7">
                  <c:v>106808025529.22324</c:v>
                </c:pt>
                <c:pt idx="8">
                  <c:v>110659211471.00676</c:v>
                </c:pt>
                <c:pt idx="9">
                  <c:v>114160289599.90088</c:v>
                </c:pt>
                <c:pt idx="10">
                  <c:v>117343087898.89552</c:v>
                </c:pt>
                <c:pt idx="11">
                  <c:v>120236540897.98157</c:v>
                </c:pt>
                <c:pt idx="12">
                  <c:v>122866952715.33252</c:v>
                </c:pt>
                <c:pt idx="13">
                  <c:v>125258236185.65157</c:v>
                </c:pt>
                <c:pt idx="14">
                  <c:v>127432130249.57797</c:v>
                </c:pt>
                <c:pt idx="15">
                  <c:v>129408397580.42017</c:v>
                </c:pt>
                <c:pt idx="16">
                  <c:v>131205004244.82216</c:v>
                </c:pt>
                <c:pt idx="17">
                  <c:v>132838283030.64215</c:v>
                </c:pt>
                <c:pt idx="18">
                  <c:v>134323081926.84215</c:v>
                </c:pt>
                <c:pt idx="19">
                  <c:v>135672899105.20578</c:v>
                </c:pt>
              </c:numCache>
            </c:numRef>
          </c:val>
          <c:smooth val="0"/>
          <c:extLst>
            <c:ext xmlns:c16="http://schemas.microsoft.com/office/drawing/2014/chart" uri="{C3380CC4-5D6E-409C-BE32-E72D297353CC}">
              <c16:uniqueId val="{00000002-D987-4E74-9F16-1F8EF05EBC88}"/>
            </c:ext>
          </c:extLst>
        </c:ser>
        <c:ser>
          <c:idx val="1"/>
          <c:order val="1"/>
          <c:tx>
            <c:v>ODC Cumulative Cash Flow</c:v>
          </c:tx>
          <c:spPr>
            <a:ln w="28575" cap="rnd">
              <a:solidFill>
                <a:schemeClr val="accent6"/>
              </a:solidFill>
              <a:round/>
            </a:ln>
            <a:effectLst/>
          </c:spPr>
          <c:marker>
            <c:symbol val="none"/>
          </c:marker>
          <c:val>
            <c:numRef>
              <c:f>'Tabular Data for Plots'!$U$59:$U$78</c:f>
              <c:numCache>
                <c:formatCode>_("$"* #,##0.0_);_("$"* \(#,##0.0\);_("$"* "-"??_);_(@_)</c:formatCode>
                <c:ptCount val="20"/>
                <c:pt idx="0">
                  <c:v>62721479241.416985</c:v>
                </c:pt>
                <c:pt idx="1">
                  <c:v>65192507026.051826</c:v>
                </c:pt>
                <c:pt idx="2">
                  <c:v>67438895921.174416</c:v>
                </c:pt>
                <c:pt idx="3">
                  <c:v>69481067644.013123</c:v>
                </c:pt>
                <c:pt idx="4">
                  <c:v>71337587392.048325</c:v>
                </c:pt>
                <c:pt idx="5">
                  <c:v>73025332617.534866</c:v>
                </c:pt>
                <c:pt idx="6">
                  <c:v>74559646458.886261</c:v>
                </c:pt>
                <c:pt idx="7">
                  <c:v>75954477223.751175</c:v>
                </c:pt>
                <c:pt idx="8">
                  <c:v>77222505191.810181</c:v>
                </c:pt>
                <c:pt idx="9">
                  <c:v>78375257890.045639</c:v>
                </c:pt>
                <c:pt idx="10">
                  <c:v>79423214888.441513</c:v>
                </c:pt>
                <c:pt idx="11">
                  <c:v>80375903068.801392</c:v>
                </c:pt>
                <c:pt idx="12">
                  <c:v>81241983232.764923</c:v>
                </c:pt>
                <c:pt idx="13">
                  <c:v>82029328836.368134</c:v>
                </c:pt>
                <c:pt idx="14">
                  <c:v>82745097566.916504</c:v>
                </c:pt>
                <c:pt idx="15">
                  <c:v>83395796412.869568</c:v>
                </c:pt>
                <c:pt idx="16">
                  <c:v>83987340818.281448</c:v>
                </c:pt>
                <c:pt idx="17">
                  <c:v>84525108459.564972</c:v>
                </c:pt>
                <c:pt idx="18">
                  <c:v>85013988133.459091</c:v>
                </c:pt>
                <c:pt idx="19">
                  <c:v>85458424200.635559</c:v>
                </c:pt>
              </c:numCache>
            </c:numRef>
          </c:val>
          <c:smooth val="0"/>
          <c:extLst>
            <c:ext xmlns:c16="http://schemas.microsoft.com/office/drawing/2014/chart" uri="{C3380CC4-5D6E-409C-BE32-E72D297353CC}">
              <c16:uniqueId val="{00000003-D987-4E74-9F16-1F8EF05EBC88}"/>
            </c:ext>
          </c:extLst>
        </c:ser>
        <c:dLbls>
          <c:showLegendKey val="0"/>
          <c:showVal val="0"/>
          <c:showCatName val="0"/>
          <c:showSerName val="0"/>
          <c:showPercent val="0"/>
          <c:showBubbleSize val="0"/>
        </c:dLbls>
        <c:marker val="1"/>
        <c:smooth val="0"/>
        <c:axId val="920132831"/>
        <c:axId val="927696383"/>
      </c:lineChart>
      <c:catAx>
        <c:axId val="92013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7696383"/>
        <c:crosses val="autoZero"/>
        <c:auto val="1"/>
        <c:lblAlgn val="ctr"/>
        <c:lblOffset val="100"/>
        <c:noMultiLvlLbl val="0"/>
      </c:catAx>
      <c:valAx>
        <c:axId val="927696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 Cash Burn [$NPV]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0132831"/>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valAx>
        <c:axId val="100450972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Compute Performance [EFLOPS]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 #,##0.0_);_(* \(#,##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004883711"/>
        <c:crosses val="max"/>
        <c:crossBetween val="between"/>
      </c:valAx>
      <c:catAx>
        <c:axId val="1004883711"/>
        <c:scaling>
          <c:orientation val="minMax"/>
        </c:scaling>
        <c:delete val="1"/>
        <c:axPos val="b"/>
        <c:majorTickMark val="out"/>
        <c:minorTickMark val="none"/>
        <c:tickLblPos val="nextTo"/>
        <c:crossAx val="10045097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TDC vs. ODC Capital Efficiency Comparison</a:t>
            </a:r>
            <a:br>
              <a:rPr lang="en-US"/>
            </a:br>
            <a:r>
              <a:rPr lang="en-US"/>
              <a:t>Compute per Cumulative Dollar over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2"/>
          <c:order val="2"/>
          <c:tx>
            <c:v>ODC vs. TDC Efficiency Margin</c:v>
          </c:tx>
          <c:spPr>
            <a:solidFill>
              <a:schemeClr val="accent6"/>
            </a:solidFill>
            <a:ln>
              <a:noFill/>
            </a:ln>
            <a:effectLst/>
          </c:spPr>
          <c:invertIfNegative val="0"/>
          <c:val>
            <c:numRef>
              <c:f>'Tabular Data for Plots'!$AC$59:$AC$78</c:f>
              <c:numCache>
                <c:formatCode>0%</c:formatCode>
                <c:ptCount val="20"/>
                <c:pt idx="0">
                  <c:v>0.17536871273018526</c:v>
                </c:pt>
                <c:pt idx="1">
                  <c:v>0.13697655251837565</c:v>
                </c:pt>
                <c:pt idx="2">
                  <c:v>0.20027117290494242</c:v>
                </c:pt>
                <c:pt idx="3">
                  <c:v>0.25426017666171041</c:v>
                </c:pt>
                <c:pt idx="4">
                  <c:v>0.3006587537824672</c:v>
                </c:pt>
                <c:pt idx="5">
                  <c:v>0.34079205796308376</c:v>
                </c:pt>
                <c:pt idx="6">
                  <c:v>0.37570020600649617</c:v>
                </c:pt>
                <c:pt idx="7">
                  <c:v>0.40621105474245922</c:v>
                </c:pt>
                <c:pt idx="8">
                  <c:v>0.43299173208826036</c:v>
                </c:pt>
                <c:pt idx="9">
                  <c:v>0.45658582406272696</c:v>
                </c:pt>
                <c:pt idx="10">
                  <c:v>0.47744067101434462</c:v>
                </c:pt>
                <c:pt idx="11">
                  <c:v>0.49592771349716158</c:v>
                </c:pt>
                <c:pt idx="12">
                  <c:v>0.51235786998587485</c:v>
                </c:pt>
                <c:pt idx="13">
                  <c:v>0.52699330791205601</c:v>
                </c:pt>
                <c:pt idx="14">
                  <c:v>0.54005655920005158</c:v>
                </c:pt>
                <c:pt idx="15">
                  <c:v>0.55173765521411811</c:v>
                </c:pt>
                <c:pt idx="16">
                  <c:v>0.5621997668518024</c:v>
                </c:pt>
                <c:pt idx="17">
                  <c:v>0.57158370396163605</c:v>
                </c:pt>
                <c:pt idx="18">
                  <c:v>0.58001153546608408</c:v>
                </c:pt>
                <c:pt idx="19">
                  <c:v>0.58758952524889596</c:v>
                </c:pt>
              </c:numCache>
            </c:numRef>
          </c:val>
          <c:extLst>
            <c:ext xmlns:c16="http://schemas.microsoft.com/office/drawing/2014/chart" uri="{C3380CC4-5D6E-409C-BE32-E72D297353CC}">
              <c16:uniqueId val="{00000000-F978-445F-BF39-29EADBFC8697}"/>
            </c:ext>
          </c:extLst>
        </c:ser>
        <c:dLbls>
          <c:showLegendKey val="0"/>
          <c:showVal val="0"/>
          <c:showCatName val="0"/>
          <c:showSerName val="0"/>
          <c:showPercent val="0"/>
          <c:showBubbleSize val="0"/>
        </c:dLbls>
        <c:gapWidth val="150"/>
        <c:axId val="1273151824"/>
        <c:axId val="1273148944"/>
      </c:barChart>
      <c:lineChart>
        <c:grouping val="standard"/>
        <c:varyColors val="0"/>
        <c:ser>
          <c:idx val="0"/>
          <c:order val="0"/>
          <c:tx>
            <c:v>TDC Capital Efficiency</c:v>
          </c:tx>
          <c:spPr>
            <a:ln w="28575" cap="rnd">
              <a:solidFill>
                <a:schemeClr val="accent3"/>
              </a:solidFill>
              <a:round/>
            </a:ln>
            <a:effectLst/>
          </c:spPr>
          <c:marker>
            <c:symbol val="none"/>
          </c:marker>
          <c:val>
            <c:numRef>
              <c:f>'Tabular Data for Plots'!$O$59:$O$78</c:f>
              <c:numCache>
                <c:formatCode>_(* #,##0.0_);_(* \(#,##0.0\);_(* "-"??_);_(@_)</c:formatCode>
                <c:ptCount val="20"/>
                <c:pt idx="0">
                  <c:v>168.25875957465959</c:v>
                </c:pt>
                <c:pt idx="1">
                  <c:v>167.34737725708547</c:v>
                </c:pt>
                <c:pt idx="2">
                  <c:v>153.24216319193931</c:v>
                </c:pt>
                <c:pt idx="3">
                  <c:v>142.33574689372324</c:v>
                </c:pt>
                <c:pt idx="4">
                  <c:v>300.79376763787894</c:v>
                </c:pt>
                <c:pt idx="5">
                  <c:v>285.04645665895237</c:v>
                </c:pt>
                <c:pt idx="6">
                  <c:v>272.09651349555486</c:v>
                </c:pt>
                <c:pt idx="7">
                  <c:v>261.30440598650586</c:v>
                </c:pt>
                <c:pt idx="8">
                  <c:v>252.21043322559393</c:v>
                </c:pt>
                <c:pt idx="9">
                  <c:v>550.07014669872808</c:v>
                </c:pt>
                <c:pt idx="10">
                  <c:v>535.15011724842998</c:v>
                </c:pt>
                <c:pt idx="11">
                  <c:v>522.27190485019128</c:v>
                </c:pt>
                <c:pt idx="12">
                  <c:v>511.09078445916771</c:v>
                </c:pt>
                <c:pt idx="13">
                  <c:v>501.33363808758554</c:v>
                </c:pt>
                <c:pt idx="14">
                  <c:v>1663.1367932471035</c:v>
                </c:pt>
                <c:pt idx="15">
                  <c:v>1637.7381099107045</c:v>
                </c:pt>
                <c:pt idx="16">
                  <c:v>1615.312355498774</c:v>
                </c:pt>
                <c:pt idx="17">
                  <c:v>1595.4516998013462</c:v>
                </c:pt>
                <c:pt idx="18">
                  <c:v>1577.8156770953181</c:v>
                </c:pt>
                <c:pt idx="19">
                  <c:v>3514.7652786948229</c:v>
                </c:pt>
              </c:numCache>
            </c:numRef>
          </c:val>
          <c:smooth val="0"/>
          <c:extLst>
            <c:ext xmlns:c16="http://schemas.microsoft.com/office/drawing/2014/chart" uri="{C3380CC4-5D6E-409C-BE32-E72D297353CC}">
              <c16:uniqueId val="{00000001-F978-445F-BF39-29EADBFC8697}"/>
            </c:ext>
          </c:extLst>
        </c:ser>
        <c:ser>
          <c:idx val="1"/>
          <c:order val="1"/>
          <c:tx>
            <c:v>ODC Capital Efficiency</c:v>
          </c:tx>
          <c:spPr>
            <a:ln w="28575" cap="rnd">
              <a:solidFill>
                <a:schemeClr val="accent2"/>
              </a:solidFill>
              <a:round/>
            </a:ln>
            <a:effectLst/>
          </c:spPr>
          <c:marker>
            <c:symbol val="none"/>
          </c:marker>
          <c:val>
            <c:numRef>
              <c:f>'Tabular Data for Plots'!$AA$59:$AA$78</c:f>
              <c:numCache>
                <c:formatCode>_(* #,##0.0_);_(* \(#,##0.0\);_(* "-"??_);_(@_)</c:formatCode>
                <c:ptCount val="20"/>
                <c:pt idx="0">
                  <c:v>197.76608164684538</c:v>
                </c:pt>
                <c:pt idx="1">
                  <c:v>190.27004406675306</c:v>
                </c:pt>
                <c:pt idx="2">
                  <c:v>183.9321509528796</c:v>
                </c:pt>
                <c:pt idx="3">
                  <c:v>178.52605904419781</c:v>
                </c:pt>
                <c:pt idx="4">
                  <c:v>391.23004696141663</c:v>
                </c:pt>
                <c:pt idx="5">
                  <c:v>382.1880252388417</c:v>
                </c:pt>
                <c:pt idx="6">
                  <c:v>374.32322966948419</c:v>
                </c:pt>
                <c:pt idx="7">
                  <c:v>367.44914435113617</c:v>
                </c:pt>
                <c:pt idx="8">
                  <c:v>361.41546555867438</c:v>
                </c:pt>
                <c:pt idx="9">
                  <c:v>801.22437792147196</c:v>
                </c:pt>
                <c:pt idx="10">
                  <c:v>790.65254832092558</c:v>
                </c:pt>
                <c:pt idx="11">
                  <c:v>781.28101644635376</c:v>
                </c:pt>
                <c:pt idx="12">
                  <c:v>772.95217015407673</c:v>
                </c:pt>
                <c:pt idx="13">
                  <c:v>765.53311039094774</c:v>
                </c:pt>
                <c:pt idx="14">
                  <c:v>2561.3247272871417</c:v>
                </c:pt>
                <c:pt idx="15">
                  <c:v>2541.3398945276381</c:v>
                </c:pt>
                <c:pt idx="16">
                  <c:v>2523.4405851530205</c:v>
                </c:pt>
                <c:pt idx="17">
                  <c:v>2507.3858918656879</c:v>
                </c:pt>
                <c:pt idx="18">
                  <c:v>2492.9669706498325</c:v>
                </c:pt>
                <c:pt idx="19">
                  <c:v>5580.0045401644174</c:v>
                </c:pt>
              </c:numCache>
            </c:numRef>
          </c:val>
          <c:smooth val="0"/>
          <c:extLst>
            <c:ext xmlns:c16="http://schemas.microsoft.com/office/drawing/2014/chart" uri="{C3380CC4-5D6E-409C-BE32-E72D297353CC}">
              <c16:uniqueId val="{00000002-F978-445F-BF39-29EADBFC8697}"/>
            </c:ext>
          </c:extLst>
        </c:ser>
        <c:dLbls>
          <c:showLegendKey val="0"/>
          <c:showVal val="0"/>
          <c:showCatName val="0"/>
          <c:showSerName val="0"/>
          <c:showPercent val="0"/>
          <c:showBubbleSize val="0"/>
        </c:dLbls>
        <c:marker val="1"/>
        <c:smooth val="0"/>
        <c:axId val="1133414384"/>
        <c:axId val="1133414864"/>
      </c:lineChart>
      <c:catAx>
        <c:axId val="11334143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133414864"/>
        <c:crosses val="autoZero"/>
        <c:auto val="1"/>
        <c:lblAlgn val="ctr"/>
        <c:lblOffset val="100"/>
        <c:noMultiLvlLbl val="0"/>
      </c:catAx>
      <c:valAx>
        <c:axId val="113341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Capital Efficiency [GLOPS per NPV of Cumulative $ Spent]</a:t>
                </a:r>
              </a:p>
            </c:rich>
          </c:tx>
          <c:layout>
            <c:manualLayout>
              <c:xMode val="edge"/>
              <c:yMode val="edge"/>
              <c:x val="1.7238891536559414E-2"/>
              <c:y val="9.193728580702628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133414384"/>
        <c:crosses val="autoZero"/>
        <c:crossBetween val="between"/>
      </c:valAx>
      <c:valAx>
        <c:axId val="12731489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Efficiency relative to TDC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51824"/>
        <c:crosses val="max"/>
        <c:crossBetween val="between"/>
      </c:valAx>
      <c:catAx>
        <c:axId val="1273151824"/>
        <c:scaling>
          <c:orientation val="minMax"/>
        </c:scaling>
        <c:delete val="1"/>
        <c:axPos val="b"/>
        <c:majorTickMark val="out"/>
        <c:minorTickMark val="none"/>
        <c:tickLblPos val="nextTo"/>
        <c:crossAx val="1273148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CapEx Breakdown Comparison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Model!$B$2</c:f>
              <c:strCache>
                <c:ptCount val="1"/>
                <c:pt idx="0">
                  <c:v>Terrestrial Data Center</c:v>
                </c:pt>
              </c:strCache>
            </c:strRef>
          </c:tx>
          <c:spPr>
            <a:solidFill>
              <a:schemeClr val="accent3"/>
            </a:solidFill>
            <a:ln>
              <a:noFill/>
            </a:ln>
            <a:effectLst/>
          </c:spPr>
          <c:invertIfNegative val="0"/>
          <c:cat>
            <c:strRef>
              <c:f>Model!$B$82:$B$85</c:f>
              <c:strCache>
                <c:ptCount val="4"/>
                <c:pt idx="0">
                  <c:v>Power CapEx</c:v>
                </c:pt>
                <c:pt idx="1">
                  <c:v>Compute CapEx</c:v>
                </c:pt>
                <c:pt idx="2">
                  <c:v>Cooling CapEx</c:v>
                </c:pt>
                <c:pt idx="3">
                  <c:v>Deployment CapEx</c:v>
                </c:pt>
              </c:strCache>
            </c:strRef>
          </c:cat>
          <c:val>
            <c:numRef>
              <c:f>Model!$C$82:$C$85</c:f>
              <c:numCache>
                <c:formatCode>_("$"* #,##0.0_);_("$"* \(#,##0.0\);_("$"* "-"??_);_(@_)</c:formatCode>
                <c:ptCount val="4"/>
                <c:pt idx="1">
                  <c:v>35.764705882352935</c:v>
                </c:pt>
                <c:pt idx="3">
                  <c:v>12</c:v>
                </c:pt>
              </c:numCache>
            </c:numRef>
          </c:val>
          <c:extLst>
            <c:ext xmlns:c16="http://schemas.microsoft.com/office/drawing/2014/chart" uri="{C3380CC4-5D6E-409C-BE32-E72D297353CC}">
              <c16:uniqueId val="{00000000-0E43-47E1-B5C0-208C73A484FC}"/>
            </c:ext>
          </c:extLst>
        </c:ser>
        <c:ser>
          <c:idx val="1"/>
          <c:order val="1"/>
          <c:tx>
            <c:strRef>
              <c:f>Model!$I$2</c:f>
              <c:strCache>
                <c:ptCount val="1"/>
                <c:pt idx="0">
                  <c:v>Orbital Data Center</c:v>
                </c:pt>
              </c:strCache>
            </c:strRef>
          </c:tx>
          <c:spPr>
            <a:solidFill>
              <a:schemeClr val="accent2"/>
            </a:solidFill>
            <a:ln>
              <a:noFill/>
            </a:ln>
            <a:effectLst/>
          </c:spPr>
          <c:invertIfNegative val="0"/>
          <c:cat>
            <c:strRef>
              <c:f>Model!$B$82:$B$85</c:f>
              <c:strCache>
                <c:ptCount val="4"/>
                <c:pt idx="0">
                  <c:v>Power CapEx</c:v>
                </c:pt>
                <c:pt idx="1">
                  <c:v>Compute CapEx</c:v>
                </c:pt>
                <c:pt idx="2">
                  <c:v>Cooling CapEx</c:v>
                </c:pt>
                <c:pt idx="3">
                  <c:v>Deployment CapEx</c:v>
                </c:pt>
              </c:strCache>
            </c:strRef>
          </c:cat>
          <c:val>
            <c:numRef>
              <c:f>Model!$J$82:$J$85</c:f>
              <c:numCache>
                <c:formatCode>_("$"* #,##0.0_);_("$"* \(#,##0.0\);_("$"* "-"??_);_(@_)</c:formatCode>
                <c:ptCount val="4"/>
                <c:pt idx="0">
                  <c:v>50</c:v>
                </c:pt>
                <c:pt idx="1">
                  <c:v>24.470588235294116</c:v>
                </c:pt>
                <c:pt idx="2">
                  <c:v>0.27122059754921701</c:v>
                </c:pt>
                <c:pt idx="3">
                  <c:v>163.26303971382239</c:v>
                </c:pt>
              </c:numCache>
            </c:numRef>
          </c:val>
          <c:extLst>
            <c:ext xmlns:c16="http://schemas.microsoft.com/office/drawing/2014/chart" uri="{C3380CC4-5D6E-409C-BE32-E72D297353CC}">
              <c16:uniqueId val="{00000001-0E43-47E1-B5C0-208C73A484FC}"/>
            </c:ext>
          </c:extLst>
        </c:ser>
        <c:dLbls>
          <c:showLegendKey val="0"/>
          <c:showVal val="0"/>
          <c:showCatName val="0"/>
          <c:showSerName val="0"/>
          <c:showPercent val="0"/>
          <c:showBubbleSize val="0"/>
        </c:dLbls>
        <c:gapWidth val="219"/>
        <c:overlap val="-27"/>
        <c:axId val="937065216"/>
        <c:axId val="937064256"/>
      </c:barChart>
      <c:catAx>
        <c:axId val="93706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37064256"/>
        <c:crosses val="autoZero"/>
        <c:auto val="1"/>
        <c:lblAlgn val="ctr"/>
        <c:lblOffset val="100"/>
        <c:noMultiLvlLbl val="0"/>
      </c:catAx>
      <c:valAx>
        <c:axId val="9370642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3706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ptos" panose="020B0004020202020204" pitchFamily="34" charset="0"/>
                <a:ea typeface="+mn-ea"/>
                <a:cs typeface="+mn-cs"/>
              </a:defRPr>
            </a:pPr>
            <a:r>
              <a:rPr lang="en-US"/>
              <a:t>ODC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0E3-450D-B29A-DC1A258262B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0E3-450D-B29A-DC1A258262B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0E3-450D-B29A-DC1A25826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0E3-450D-B29A-DC1A258262B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Model!$B$82:$B$85</c:f>
              <c:strCache>
                <c:ptCount val="4"/>
                <c:pt idx="0">
                  <c:v>Power CapEx</c:v>
                </c:pt>
                <c:pt idx="1">
                  <c:v>Compute CapEx</c:v>
                </c:pt>
                <c:pt idx="2">
                  <c:v>Cooling CapEx</c:v>
                </c:pt>
                <c:pt idx="3">
                  <c:v>Deployment CapEx</c:v>
                </c:pt>
              </c:strCache>
            </c:strRef>
          </c:cat>
          <c:val>
            <c:numRef>
              <c:f>Model!$K$82:$K$85</c:f>
              <c:numCache>
                <c:formatCode>_("$"* #,##0.0_);_("$"* \(#,##0.0\);_("$"* "-"??_);_(@_)</c:formatCode>
                <c:ptCount val="4"/>
                <c:pt idx="0">
                  <c:v>29.62</c:v>
                </c:pt>
                <c:pt idx="1">
                  <c:v>28.314136125654453</c:v>
                </c:pt>
                <c:pt idx="2">
                  <c:v>0.13706140394244276</c:v>
                </c:pt>
                <c:pt idx="3">
                  <c:v>31.563103918121477</c:v>
                </c:pt>
              </c:numCache>
            </c:numRef>
          </c:val>
          <c:extLst>
            <c:ext xmlns:c16="http://schemas.microsoft.com/office/drawing/2014/chart" uri="{C3380CC4-5D6E-409C-BE32-E72D297353CC}">
              <c16:uniqueId val="{00000008-20E3-450D-B29A-DC1A258262BC}"/>
            </c:ext>
          </c:extLst>
        </c:ser>
        <c:dLbls>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ptos" panose="020B0004020202020204" pitchFamily="34" charset="0"/>
                <a:ea typeface="+mn-ea"/>
                <a:cs typeface="+mn-cs"/>
              </a:defRPr>
            </a:pPr>
            <a:r>
              <a:rPr lang="en-US"/>
              <a:t>ODC CapEx Breakdown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27-4892-88EA-5DAD39B993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27-4892-88EA-5DAD39B993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B27-4892-88EA-5DAD39B993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B27-4892-88EA-5DAD39B9936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Model!$B$82:$B$85</c:f>
              <c:strCache>
                <c:ptCount val="4"/>
                <c:pt idx="0">
                  <c:v>Power CapEx</c:v>
                </c:pt>
                <c:pt idx="1">
                  <c:v>Compute CapEx</c:v>
                </c:pt>
                <c:pt idx="2">
                  <c:v>Cooling CapEx</c:v>
                </c:pt>
                <c:pt idx="3">
                  <c:v>Deployment CapEx</c:v>
                </c:pt>
              </c:strCache>
            </c:strRef>
          </c:cat>
          <c:val>
            <c:numRef>
              <c:f>Model!$L$82:$L$85</c:f>
              <c:numCache>
                <c:formatCode>_("$"* #,##0.0_);_("$"* \(#,##0.0\);_("$"* "-"??_);_(@_)</c:formatCode>
                <c:ptCount val="4"/>
                <c:pt idx="0">
                  <c:v>15</c:v>
                </c:pt>
                <c:pt idx="1">
                  <c:v>32.613240418118465</c:v>
                </c:pt>
                <c:pt idx="2">
                  <c:v>4.9455444708542344E-2</c:v>
                </c:pt>
                <c:pt idx="3">
                  <c:v>12.340652815491648</c:v>
                </c:pt>
              </c:numCache>
            </c:numRef>
          </c:val>
          <c:extLst>
            <c:ext xmlns:c16="http://schemas.microsoft.com/office/drawing/2014/chart" uri="{C3380CC4-5D6E-409C-BE32-E72D297353CC}">
              <c16:uniqueId val="{00000008-8B27-4892-88EA-5DAD39B99365}"/>
            </c:ext>
          </c:extLst>
        </c:ser>
        <c:dLbls>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cap="small" baseline="0"/>
              <a:t>Technology Today: Total Cost vs. Launch Price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scatterChart>
        <c:scatterStyle val="smoothMarker"/>
        <c:varyColors val="0"/>
        <c:ser>
          <c:idx val="0"/>
          <c:order val="0"/>
          <c:tx>
            <c:strRef>
              <c:f>Model!$P$98</c:f>
              <c:strCache>
                <c:ptCount val="1"/>
                <c:pt idx="0">
                  <c:v>TDC 20-year Total Cost</c:v>
                </c:pt>
              </c:strCache>
            </c:strRef>
          </c:tx>
          <c:spPr>
            <a:ln w="28575" cap="rnd">
              <a:solidFill>
                <a:schemeClr val="accent3"/>
              </a:solidFill>
              <a:round/>
            </a:ln>
            <a:effectLst/>
          </c:spPr>
          <c:marker>
            <c:symbol val="none"/>
          </c:marker>
          <c:xVal>
            <c:numRef>
              <c:f>Model!$Q$96:$U$96</c:f>
              <c:numCache>
                <c:formatCode>_("$"* #,##0_);_("$"* \(#,##0\);_("$"* "-"??_);_(@_)</c:formatCode>
                <c:ptCount val="5"/>
                <c:pt idx="0">
                  <c:v>4000</c:v>
                </c:pt>
                <c:pt idx="1">
                  <c:v>3000</c:v>
                </c:pt>
                <c:pt idx="2">
                  <c:v>2000</c:v>
                </c:pt>
                <c:pt idx="3">
                  <c:v>1000</c:v>
                </c:pt>
                <c:pt idx="4">
                  <c:v>0</c:v>
                </c:pt>
              </c:numCache>
            </c:numRef>
          </c:xVal>
          <c:yVal>
            <c:numRef>
              <c:f>Model!$Q$98:$U$98</c:f>
              <c:numCache>
                <c:formatCode>_("$"* #,##0.0_);_("$"* \(#,##0.0\);_("$"* "-"??_);_(@_)</c:formatCode>
                <c:ptCount val="5"/>
                <c:pt idx="0">
                  <c:v>101.87941502763609</c:v>
                </c:pt>
                <c:pt idx="1">
                  <c:v>101.87941502763609</c:v>
                </c:pt>
                <c:pt idx="2">
                  <c:v>101.87941502763609</c:v>
                </c:pt>
                <c:pt idx="3">
                  <c:v>101.87941502763609</c:v>
                </c:pt>
                <c:pt idx="4">
                  <c:v>101.87941502763609</c:v>
                </c:pt>
              </c:numCache>
            </c:numRef>
          </c:yVal>
          <c:smooth val="1"/>
          <c:extLst>
            <c:ext xmlns:c16="http://schemas.microsoft.com/office/drawing/2014/chart" uri="{C3380CC4-5D6E-409C-BE32-E72D297353CC}">
              <c16:uniqueId val="{00000000-81D2-4A1A-8058-D7079BACBC82}"/>
            </c:ext>
          </c:extLst>
        </c:ser>
        <c:ser>
          <c:idx val="1"/>
          <c:order val="1"/>
          <c:tx>
            <c:v>ODC 20-year Total Cost</c:v>
          </c:tx>
          <c:spPr>
            <a:ln w="28575" cap="rnd">
              <a:solidFill>
                <a:schemeClr val="accent2"/>
              </a:solidFill>
              <a:round/>
            </a:ln>
            <a:effectLst/>
          </c:spPr>
          <c:marker>
            <c:symbol val="none"/>
          </c:marker>
          <c:xVal>
            <c:numRef>
              <c:f>Model!$Q$96:$U$96</c:f>
              <c:numCache>
                <c:formatCode>_("$"* #,##0_);_("$"* \(#,##0\);_("$"* "-"??_);_(@_)</c:formatCode>
                <c:ptCount val="5"/>
                <c:pt idx="0">
                  <c:v>4000</c:v>
                </c:pt>
                <c:pt idx="1">
                  <c:v>3000</c:v>
                </c:pt>
                <c:pt idx="2">
                  <c:v>2000</c:v>
                </c:pt>
                <c:pt idx="3">
                  <c:v>1000</c:v>
                </c:pt>
                <c:pt idx="4">
                  <c:v>0</c:v>
                </c:pt>
              </c:numCache>
            </c:numRef>
          </c:xVal>
          <c:yVal>
            <c:numRef>
              <c:f>Model!$Q$97:$U$97</c:f>
              <c:numCache>
                <c:formatCode>_("$"* #,##0.0_);_("$"* \(#,##0.0\);_("$"* "-"??_);_(@_)</c:formatCode>
                <c:ptCount val="5"/>
                <c:pt idx="0">
                  <c:v>518.12329781362541</c:v>
                </c:pt>
                <c:pt idx="1">
                  <c:v>429.45348464789998</c:v>
                </c:pt>
                <c:pt idx="2">
                  <c:v>340.78367148217455</c:v>
                </c:pt>
                <c:pt idx="3">
                  <c:v>252.11385831644918</c:v>
                </c:pt>
                <c:pt idx="4">
                  <c:v>163.44404515072372</c:v>
                </c:pt>
              </c:numCache>
            </c:numRef>
          </c:yVal>
          <c:smooth val="1"/>
          <c:extLst>
            <c:ext xmlns:c16="http://schemas.microsoft.com/office/drawing/2014/chart" uri="{C3380CC4-5D6E-409C-BE32-E72D297353CC}">
              <c16:uniqueId val="{00000001-81D2-4A1A-8058-D7079BACBC82}"/>
            </c:ext>
          </c:extLst>
        </c:ser>
        <c:dLbls>
          <c:showLegendKey val="0"/>
          <c:showVal val="0"/>
          <c:showCatName val="0"/>
          <c:showSerName val="0"/>
          <c:showPercent val="0"/>
          <c:showBubbleSize val="0"/>
        </c:dLbls>
        <c:axId val="1263166944"/>
        <c:axId val="1263167424"/>
      </c:scatterChart>
      <c:valAx>
        <c:axId val="12631669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Launch Price $/kg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63167424"/>
        <c:crosses val="autoZero"/>
        <c:crossBetween val="midCat"/>
      </c:valAx>
      <c:valAx>
        <c:axId val="1263167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TCO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631669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Future Concept: TCO vs. Launch Price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scatterChart>
        <c:scatterStyle val="smoothMarker"/>
        <c:varyColors val="0"/>
        <c:ser>
          <c:idx val="0"/>
          <c:order val="0"/>
          <c:tx>
            <c:strRef>
              <c:f>Model!$AH$98</c:f>
              <c:strCache>
                <c:ptCount val="1"/>
                <c:pt idx="0">
                  <c:v>TDC 20-year Total Cost</c:v>
                </c:pt>
              </c:strCache>
            </c:strRef>
          </c:tx>
          <c:spPr>
            <a:ln w="28575" cap="rnd">
              <a:solidFill>
                <a:schemeClr val="accent3"/>
              </a:solidFill>
              <a:round/>
            </a:ln>
            <a:effectLst/>
          </c:spPr>
          <c:marker>
            <c:symbol val="none"/>
          </c:marker>
          <c:xVal>
            <c:numRef>
              <c:f>Model!$Z$96:$AD$96</c:f>
              <c:numCache>
                <c:formatCode>_("$"* #,##0_);_("$"* \(#,##0\);_("$"* "-"??_);_(@_)</c:formatCode>
                <c:ptCount val="5"/>
                <c:pt idx="0">
                  <c:v>4000</c:v>
                </c:pt>
                <c:pt idx="1">
                  <c:v>3000</c:v>
                </c:pt>
                <c:pt idx="2">
                  <c:v>2000</c:v>
                </c:pt>
                <c:pt idx="3">
                  <c:v>1000</c:v>
                </c:pt>
                <c:pt idx="4">
                  <c:v>0</c:v>
                </c:pt>
              </c:numCache>
            </c:numRef>
          </c:xVal>
          <c:yVal>
            <c:numRef>
              <c:f>Model!$AI$98:$AM$98</c:f>
              <c:numCache>
                <c:formatCode>_("$"* #,##0.0_);_("$"* \(#,##0.0\);_("$"* "-"??_);_(@_)</c:formatCode>
                <c:ptCount val="5"/>
                <c:pt idx="0">
                  <c:v>135.74803086899453</c:v>
                </c:pt>
                <c:pt idx="1">
                  <c:v>135.74803086899453</c:v>
                </c:pt>
                <c:pt idx="2">
                  <c:v>135.74803086899453</c:v>
                </c:pt>
                <c:pt idx="3">
                  <c:v>135.74803086899453</c:v>
                </c:pt>
                <c:pt idx="4">
                  <c:v>135.74803086899453</c:v>
                </c:pt>
              </c:numCache>
            </c:numRef>
          </c:yVal>
          <c:smooth val="1"/>
          <c:extLst>
            <c:ext xmlns:c16="http://schemas.microsoft.com/office/drawing/2014/chart" uri="{C3380CC4-5D6E-409C-BE32-E72D297353CC}">
              <c16:uniqueId val="{00000000-4342-47BE-B183-13F38FAA53D8}"/>
            </c:ext>
          </c:extLst>
        </c:ser>
        <c:ser>
          <c:idx val="1"/>
          <c:order val="1"/>
          <c:tx>
            <c:v>ODC 20-year Total Cost</c:v>
          </c:tx>
          <c:spPr>
            <a:ln w="28575" cap="rnd">
              <a:solidFill>
                <a:schemeClr val="accent2"/>
              </a:solidFill>
              <a:round/>
            </a:ln>
            <a:effectLst/>
          </c:spPr>
          <c:marker>
            <c:symbol val="none"/>
          </c:marker>
          <c:xVal>
            <c:numRef>
              <c:f>Model!$Z$96:$AD$96</c:f>
              <c:numCache>
                <c:formatCode>_("$"* #,##0_);_("$"* \(#,##0\);_("$"* "-"??_);_(@_)</c:formatCode>
                <c:ptCount val="5"/>
                <c:pt idx="0">
                  <c:v>4000</c:v>
                </c:pt>
                <c:pt idx="1">
                  <c:v>3000</c:v>
                </c:pt>
                <c:pt idx="2">
                  <c:v>2000</c:v>
                </c:pt>
                <c:pt idx="3">
                  <c:v>1000</c:v>
                </c:pt>
                <c:pt idx="4">
                  <c:v>0</c:v>
                </c:pt>
              </c:numCache>
            </c:numRef>
          </c:xVal>
          <c:yVal>
            <c:numRef>
              <c:f>Model!$AI$97:$AM$97</c:f>
              <c:numCache>
                <c:formatCode>_("$"* #,##0.0_);_("$"* \(#,##0.0\);_("$"* "-"??_);_(@_)</c:formatCode>
                <c:ptCount val="5"/>
                <c:pt idx="0">
                  <c:v>127.93956080159907</c:v>
                </c:pt>
                <c:pt idx="1">
                  <c:v>116.45360326936328</c:v>
                </c:pt>
                <c:pt idx="2">
                  <c:v>104.96764573712751</c:v>
                </c:pt>
                <c:pt idx="3">
                  <c:v>93.481688204891725</c:v>
                </c:pt>
                <c:pt idx="4">
                  <c:v>81.995730672655924</c:v>
                </c:pt>
              </c:numCache>
            </c:numRef>
          </c:yVal>
          <c:smooth val="1"/>
          <c:extLst>
            <c:ext xmlns:c16="http://schemas.microsoft.com/office/drawing/2014/chart" uri="{C3380CC4-5D6E-409C-BE32-E72D297353CC}">
              <c16:uniqueId val="{00000001-4342-47BE-B183-13F38FAA53D8}"/>
            </c:ext>
          </c:extLst>
        </c:ser>
        <c:dLbls>
          <c:showLegendKey val="0"/>
          <c:showVal val="0"/>
          <c:showCatName val="0"/>
          <c:showSerName val="0"/>
          <c:showPercent val="0"/>
          <c:showBubbleSize val="0"/>
        </c:dLbls>
        <c:axId val="1263166944"/>
        <c:axId val="1263167424"/>
      </c:scatterChart>
      <c:valAx>
        <c:axId val="12631669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Launch Price $/kg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63167424"/>
        <c:crosses val="autoZero"/>
        <c:crossBetween val="midCat"/>
      </c:valAx>
      <c:valAx>
        <c:axId val="1263167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TCO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631669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Discounted 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'Tabular Data for Plots'!$E$4:$O$4</c:f>
              <c:strCache>
                <c:ptCount val="1"/>
                <c:pt idx="0">
                  <c:v>Terrestrial Data Center</c:v>
                </c:pt>
              </c:strCache>
            </c:strRef>
          </c:tx>
          <c:spPr>
            <a:solidFill>
              <a:schemeClr val="accent3"/>
            </a:solidFill>
            <a:ln>
              <a:noFill/>
            </a:ln>
            <a:effectLst/>
          </c:spPr>
          <c:invertIfNegative val="0"/>
          <c:val>
            <c:numRef>
              <c:f>'Tabular Data for Plots'!$H$7:$H$26</c:f>
              <c:numCache>
                <c:formatCode>_("$"* #,##0_);_("$"* \(#,##0\);_("$"* "-"??_);_(@_)</c:formatCode>
                <c:ptCount val="20"/>
                <c:pt idx="0">
                  <c:v>18040333104.411114</c:v>
                </c:pt>
                <c:pt idx="1">
                  <c:v>18326452346.701134</c:v>
                </c:pt>
                <c:pt idx="2">
                  <c:v>18411456246.554863</c:v>
                </c:pt>
                <c:pt idx="3">
                  <c:v>4775577333.4939194</c:v>
                </c:pt>
                <c:pt idx="4">
                  <c:v>4341433939.5399275</c:v>
                </c:pt>
                <c:pt idx="5">
                  <c:v>3946758126.8544788</c:v>
                </c:pt>
                <c:pt idx="6">
                  <c:v>3587961933.5040712</c:v>
                </c:pt>
                <c:pt idx="7">
                  <c:v>3261783575.9127917</c:v>
                </c:pt>
                <c:pt idx="8">
                  <c:v>2965257796.2843566</c:v>
                </c:pt>
                <c:pt idx="9">
                  <c:v>2695688905.7130508</c:v>
                </c:pt>
                <c:pt idx="10">
                  <c:v>2450626277.9209552</c:v>
                </c:pt>
                <c:pt idx="11">
                  <c:v>2227842070.8372316</c:v>
                </c:pt>
                <c:pt idx="12">
                  <c:v>2025310973.4883926</c:v>
                </c:pt>
                <c:pt idx="13">
                  <c:v>1841191794.0803568</c:v>
                </c:pt>
                <c:pt idx="14">
                  <c:v>1673810721.8912332</c:v>
                </c:pt>
                <c:pt idx="15">
                  <c:v>1521646110.8102119</c:v>
                </c:pt>
                <c:pt idx="16">
                  <c:v>1383314646.1911018</c:v>
                </c:pt>
                <c:pt idx="17">
                  <c:v>1257558769.2646379</c:v>
                </c:pt>
                <c:pt idx="18">
                  <c:v>1143235244.7860343</c:v>
                </c:pt>
                <c:pt idx="19">
                  <c:v>1039304767.9873037</c:v>
                </c:pt>
              </c:numCache>
            </c:numRef>
          </c:val>
          <c:extLst>
            <c:ext xmlns:c16="http://schemas.microsoft.com/office/drawing/2014/chart" uri="{C3380CC4-5D6E-409C-BE32-E72D297353CC}">
              <c16:uniqueId val="{00000001-C582-464D-A0B3-5570C33D344B}"/>
            </c:ext>
          </c:extLst>
        </c:ser>
        <c:ser>
          <c:idx val="1"/>
          <c:order val="1"/>
          <c:tx>
            <c:strRef>
              <c:f>'Tabular Data for Plots'!$Q$4:$AA$4</c:f>
              <c:strCache>
                <c:ptCount val="1"/>
                <c:pt idx="0">
                  <c:v>Orbital Data Center</c:v>
                </c:pt>
              </c:strCache>
            </c:strRef>
          </c:tx>
          <c:spPr>
            <a:solidFill>
              <a:schemeClr val="accent2"/>
            </a:solidFill>
            <a:ln>
              <a:noFill/>
            </a:ln>
            <a:effectLst/>
          </c:spPr>
          <c:invertIfNegative val="0"/>
          <c:val>
            <c:numRef>
              <c:f>'Tabular Data for Plots'!$T$7:$T$26</c:f>
              <c:numCache>
                <c:formatCode>_("$"* #,##0_);_("$"* \(#,##0\);_("$"* "-"??_);_(@_)</c:formatCode>
                <c:ptCount val="20"/>
                <c:pt idx="0">
                  <c:v>22575621374.119183</c:v>
                </c:pt>
                <c:pt idx="1">
                  <c:v>23015913972.13596</c:v>
                </c:pt>
                <c:pt idx="2">
                  <c:v>23189577987.256138</c:v>
                </c:pt>
                <c:pt idx="3">
                  <c:v>23141452561.840942</c:v>
                </c:pt>
                <c:pt idx="4">
                  <c:v>22910427808.920612</c:v>
                </c:pt>
                <c:pt idx="5">
                  <c:v>22530155882.466446</c:v>
                </c:pt>
                <c:pt idx="6">
                  <c:v>22029681927.690552</c:v>
                </c:pt>
                <c:pt idx="7">
                  <c:v>21434003602.027084</c:v>
                </c:pt>
                <c:pt idx="8">
                  <c:v>20764566939.478542</c:v>
                </c:pt>
                <c:pt idx="9">
                  <c:v>20039705508.120415</c:v>
                </c:pt>
                <c:pt idx="10">
                  <c:v>19275029073.046585</c:v>
                </c:pt>
                <c:pt idx="11">
                  <c:v>18483767316.183537</c:v>
                </c:pt>
                <c:pt idx="12">
                  <c:v>10483784873.606319</c:v>
                </c:pt>
                <c:pt idx="13">
                  <c:v>9530713521.460289</c:v>
                </c:pt>
                <c:pt idx="14">
                  <c:v>8664285019.5093517</c:v>
                </c:pt>
                <c:pt idx="15">
                  <c:v>7876622745.008502</c:v>
                </c:pt>
                <c:pt idx="16">
                  <c:v>7160566131.8259106</c:v>
                </c:pt>
                <c:pt idx="17">
                  <c:v>6509605574.3871918</c:v>
                </c:pt>
                <c:pt idx="18">
                  <c:v>5917823249.4429007</c:v>
                </c:pt>
                <c:pt idx="19">
                  <c:v>5379839317.6753635</c:v>
                </c:pt>
              </c:numCache>
            </c:numRef>
          </c:val>
          <c:extLst>
            <c:ext xmlns:c16="http://schemas.microsoft.com/office/drawing/2014/chart" uri="{C3380CC4-5D6E-409C-BE32-E72D297353CC}">
              <c16:uniqueId val="{00000002-C582-464D-A0B3-5570C33D344B}"/>
            </c:ext>
          </c:extLst>
        </c:ser>
        <c:dLbls>
          <c:showLegendKey val="0"/>
          <c:showVal val="0"/>
          <c:showCatName val="0"/>
          <c:showSerName val="0"/>
          <c:showPercent val="0"/>
          <c:showBubbleSize val="0"/>
        </c:dLbls>
        <c:gapWidth val="219"/>
        <c:overlap val="-27"/>
        <c:axId val="1296276480"/>
        <c:axId val="1296266400"/>
      </c:barChart>
      <c:catAx>
        <c:axId val="1296276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96266400"/>
        <c:crosses val="autoZero"/>
        <c:auto val="1"/>
        <c:lblAlgn val="ctr"/>
        <c:lblOffset val="100"/>
        <c:noMultiLvlLbl val="0"/>
      </c:catAx>
      <c:valAx>
        <c:axId val="1296266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Cash Flow (Expenditures)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96276480"/>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Discounted 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'Tabular Data for Plots'!$E$4:$O$4</c:f>
              <c:strCache>
                <c:ptCount val="1"/>
                <c:pt idx="0">
                  <c:v>Terrestrial Data Center</c:v>
                </c:pt>
              </c:strCache>
            </c:strRef>
          </c:tx>
          <c:spPr>
            <a:solidFill>
              <a:schemeClr val="accent3"/>
            </a:solidFill>
            <a:ln>
              <a:noFill/>
            </a:ln>
            <a:effectLst/>
          </c:spPr>
          <c:invertIfNegative val="0"/>
          <c:val>
            <c:numRef>
              <c:f>'Tabular Data for Plots'!$H$33:$H$52</c:f>
              <c:numCache>
                <c:formatCode>_("$"* #,##0_);_("$"* \(#,##0\);_("$"* "-"??_);_(@_)</c:formatCode>
                <c:ptCount val="20"/>
                <c:pt idx="0">
                  <c:v>31600982035.906143</c:v>
                </c:pt>
                <c:pt idx="1">
                  <c:v>32009876904.884079</c:v>
                </c:pt>
                <c:pt idx="2">
                  <c:v>5966748032.1757822</c:v>
                </c:pt>
                <c:pt idx="3">
                  <c:v>5424316392.8870735</c:v>
                </c:pt>
                <c:pt idx="4">
                  <c:v>4931196720.8064308</c:v>
                </c:pt>
                <c:pt idx="5">
                  <c:v>4482906109.824028</c:v>
                </c:pt>
                <c:pt idx="6">
                  <c:v>4075369190.7491155</c:v>
                </c:pt>
                <c:pt idx="7">
                  <c:v>3704881082.4991956</c:v>
                </c:pt>
                <c:pt idx="8">
                  <c:v>3368073711.362905</c:v>
                </c:pt>
                <c:pt idx="9">
                  <c:v>3061885192.1480956</c:v>
                </c:pt>
                <c:pt idx="10">
                  <c:v>2783531992.8619046</c:v>
                </c:pt>
                <c:pt idx="11">
                  <c:v>2530483629.8744583</c:v>
                </c:pt>
                <c:pt idx="12">
                  <c:v>2300439663.5222349</c:v>
                </c:pt>
                <c:pt idx="13">
                  <c:v>2091308785.0202136</c:v>
                </c:pt>
                <c:pt idx="14">
                  <c:v>1901189804.5638301</c:v>
                </c:pt>
                <c:pt idx="15">
                  <c:v>1728354367.7853</c:v>
                </c:pt>
                <c:pt idx="16">
                  <c:v>1571231243.4411819</c:v>
                </c:pt>
                <c:pt idx="17">
                  <c:v>1428392039.4919834</c:v>
                </c:pt>
                <c:pt idx="18">
                  <c:v>1298538217.719985</c:v>
                </c:pt>
                <c:pt idx="19">
                  <c:v>1180489288.8363497</c:v>
                </c:pt>
              </c:numCache>
            </c:numRef>
          </c:val>
          <c:extLst>
            <c:ext xmlns:c16="http://schemas.microsoft.com/office/drawing/2014/chart" uri="{C3380CC4-5D6E-409C-BE32-E72D297353CC}">
              <c16:uniqueId val="{00000000-5033-4A07-80A3-FF6763E50124}"/>
            </c:ext>
          </c:extLst>
        </c:ser>
        <c:ser>
          <c:idx val="1"/>
          <c:order val="1"/>
          <c:tx>
            <c:strRef>
              <c:f>'Tabular Data for Plots'!$Q$4:$AA$4</c:f>
              <c:strCache>
                <c:ptCount val="1"/>
                <c:pt idx="0">
                  <c:v>Orbital Data Center</c:v>
                </c:pt>
              </c:strCache>
            </c:strRef>
          </c:tx>
          <c:spPr>
            <a:solidFill>
              <a:schemeClr val="accent2"/>
            </a:solidFill>
            <a:ln>
              <a:noFill/>
            </a:ln>
            <a:effectLst/>
          </c:spPr>
          <c:invertIfNegative val="0"/>
          <c:val>
            <c:numRef>
              <c:f>'Tabular Data for Plots'!$T$33:$T$52</c:f>
              <c:numCache>
                <c:formatCode>_("$"* #,##0_);_("$"* \(#,##0\);_("$"* "-"??_);_(@_)</c:formatCode>
                <c:ptCount val="20"/>
                <c:pt idx="0">
                  <c:v>32065640743.780891</c:v>
                </c:pt>
                <c:pt idx="1">
                  <c:v>31139255459.080898</c:v>
                </c:pt>
                <c:pt idx="2">
                  <c:v>30116298567.10503</c:v>
                </c:pt>
                <c:pt idx="3">
                  <c:v>4930594127.4412432</c:v>
                </c:pt>
                <c:pt idx="4">
                  <c:v>4482358297.6738577</c:v>
                </c:pt>
                <c:pt idx="5">
                  <c:v>4074871179.7035065</c:v>
                </c:pt>
                <c:pt idx="6">
                  <c:v>3704428345.1850052</c:v>
                </c:pt>
                <c:pt idx="7">
                  <c:v>3367662131.9863677</c:v>
                </c:pt>
                <c:pt idx="8">
                  <c:v>3061511029.0785165</c:v>
                </c:pt>
                <c:pt idx="9">
                  <c:v>2783191844.6168332</c:v>
                </c:pt>
                <c:pt idx="10">
                  <c:v>2530174404.1971207</c:v>
                </c:pt>
                <c:pt idx="11">
                  <c:v>2300158549.2701092</c:v>
                </c:pt>
                <c:pt idx="12">
                  <c:v>2091053226.6091905</c:v>
                </c:pt>
                <c:pt idx="13">
                  <c:v>1900957478.7356277</c:v>
                </c:pt>
                <c:pt idx="14">
                  <c:v>1728143162.4869339</c:v>
                </c:pt>
                <c:pt idx="15">
                  <c:v>1571039238.6244853</c:v>
                </c:pt>
                <c:pt idx="16">
                  <c:v>1428217489.658623</c:v>
                </c:pt>
                <c:pt idx="17">
                  <c:v>1298379536.0532935</c:v>
                </c:pt>
                <c:pt idx="18">
                  <c:v>1180345032.7757213</c:v>
                </c:pt>
                <c:pt idx="19">
                  <c:v>1073040938.8870192</c:v>
                </c:pt>
              </c:numCache>
            </c:numRef>
          </c:val>
          <c:extLst>
            <c:ext xmlns:c16="http://schemas.microsoft.com/office/drawing/2014/chart" uri="{C3380CC4-5D6E-409C-BE32-E72D297353CC}">
              <c16:uniqueId val="{00000001-5033-4A07-80A3-FF6763E50124}"/>
            </c:ext>
          </c:extLst>
        </c:ser>
        <c:dLbls>
          <c:showLegendKey val="0"/>
          <c:showVal val="0"/>
          <c:showCatName val="0"/>
          <c:showSerName val="0"/>
          <c:showPercent val="0"/>
          <c:showBubbleSize val="0"/>
        </c:dLbls>
        <c:gapWidth val="219"/>
        <c:overlap val="-27"/>
        <c:axId val="1296276480"/>
        <c:axId val="1296266400"/>
      </c:barChart>
      <c:catAx>
        <c:axId val="1296276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96266400"/>
        <c:crosses val="autoZero"/>
        <c:auto val="1"/>
        <c:lblAlgn val="ctr"/>
        <c:lblOffset val="100"/>
        <c:noMultiLvlLbl val="0"/>
      </c:catAx>
      <c:valAx>
        <c:axId val="1296266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Cash Flow (Expenditures)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96276480"/>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Discounted 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'Tabular Data for Plots'!$E$4:$O$4</c:f>
              <c:strCache>
                <c:ptCount val="1"/>
                <c:pt idx="0">
                  <c:v>Terrestrial Data Center</c:v>
                </c:pt>
              </c:strCache>
            </c:strRef>
          </c:tx>
          <c:spPr>
            <a:solidFill>
              <a:schemeClr val="accent3"/>
            </a:solidFill>
            <a:ln>
              <a:noFill/>
            </a:ln>
            <a:effectLst/>
          </c:spPr>
          <c:invertIfNegative val="0"/>
          <c:cat>
            <c:numRef>
              <c:f>'Tabular Data for Plots'!$C$59:$C$78</c:f>
              <c:numCache>
                <c:formatCode>General</c:formatCode>
                <c:ptCount val="20"/>
                <c:pt idx="0">
                  <c:v>2036</c:v>
                </c:pt>
                <c:pt idx="1">
                  <c:v>2037</c:v>
                </c:pt>
                <c:pt idx="2">
                  <c:v>2038</c:v>
                </c:pt>
                <c:pt idx="3">
                  <c:v>2039</c:v>
                </c:pt>
                <c:pt idx="4">
                  <c:v>2040</c:v>
                </c:pt>
                <c:pt idx="5">
                  <c:v>2041</c:v>
                </c:pt>
                <c:pt idx="6">
                  <c:v>2042</c:v>
                </c:pt>
                <c:pt idx="7">
                  <c:v>2043</c:v>
                </c:pt>
                <c:pt idx="8">
                  <c:v>2044</c:v>
                </c:pt>
                <c:pt idx="9">
                  <c:v>2045</c:v>
                </c:pt>
                <c:pt idx="10">
                  <c:v>2046</c:v>
                </c:pt>
                <c:pt idx="11">
                  <c:v>2047</c:v>
                </c:pt>
                <c:pt idx="12">
                  <c:v>2048</c:v>
                </c:pt>
                <c:pt idx="13">
                  <c:v>2049</c:v>
                </c:pt>
                <c:pt idx="14">
                  <c:v>2050</c:v>
                </c:pt>
                <c:pt idx="15">
                  <c:v>2051</c:v>
                </c:pt>
                <c:pt idx="16">
                  <c:v>2052</c:v>
                </c:pt>
                <c:pt idx="17">
                  <c:v>2053</c:v>
                </c:pt>
                <c:pt idx="18">
                  <c:v>2054</c:v>
                </c:pt>
                <c:pt idx="19">
                  <c:v>2055</c:v>
                </c:pt>
              </c:numCache>
            </c:numRef>
          </c:cat>
          <c:val>
            <c:numRef>
              <c:f>'Tabular Data for Plots'!$H$59:$H$78</c:f>
              <c:numCache>
                <c:formatCode>_("$"* #,##0_);_("$"* \(#,##0\);_("$"* "-"??_);_(@_)</c:formatCode>
                <c:ptCount val="20"/>
                <c:pt idx="0">
                  <c:v>36860432158.258659</c:v>
                </c:pt>
                <c:pt idx="1">
                  <c:v>37261919730.251724</c:v>
                </c:pt>
                <c:pt idx="2">
                  <c:v>6822610818.2119713</c:v>
                </c:pt>
                <c:pt idx="3">
                  <c:v>6202373471.1017914</c:v>
                </c:pt>
                <c:pt idx="4">
                  <c:v>5638521337.3652649</c:v>
                </c:pt>
                <c:pt idx="5">
                  <c:v>5125928488.5138769</c:v>
                </c:pt>
                <c:pt idx="6">
                  <c:v>4659934989.5580692</c:v>
                </c:pt>
                <c:pt idx="7">
                  <c:v>4236304535.9618807</c:v>
                </c:pt>
                <c:pt idx="8">
                  <c:v>3851185941.7835283</c:v>
                </c:pt>
                <c:pt idx="9">
                  <c:v>3501078128.8941159</c:v>
                </c:pt>
                <c:pt idx="10">
                  <c:v>3182798298.9946508</c:v>
                </c:pt>
                <c:pt idx="11">
                  <c:v>2893452999.0860457</c:v>
                </c:pt>
                <c:pt idx="12">
                  <c:v>2630411817.3509507</c:v>
                </c:pt>
                <c:pt idx="13">
                  <c:v>2391283470.319046</c:v>
                </c:pt>
                <c:pt idx="14">
                  <c:v>2173894063.926405</c:v>
                </c:pt>
                <c:pt idx="15">
                  <c:v>1976267330.8421865</c:v>
                </c:pt>
                <c:pt idx="16">
                  <c:v>1796606664.4019876</c:v>
                </c:pt>
                <c:pt idx="17">
                  <c:v>1633278785.8199887</c:v>
                </c:pt>
                <c:pt idx="18">
                  <c:v>1484798896.1999896</c:v>
                </c:pt>
                <c:pt idx="19">
                  <c:v>1349817178.3636267</c:v>
                </c:pt>
              </c:numCache>
            </c:numRef>
          </c:val>
          <c:extLst>
            <c:ext xmlns:c16="http://schemas.microsoft.com/office/drawing/2014/chart" uri="{C3380CC4-5D6E-409C-BE32-E72D297353CC}">
              <c16:uniqueId val="{00000000-F72B-4213-8B00-C09216EB7DBC}"/>
            </c:ext>
          </c:extLst>
        </c:ser>
        <c:ser>
          <c:idx val="1"/>
          <c:order val="1"/>
          <c:tx>
            <c:strRef>
              <c:f>'Tabular Data for Plots'!$Q$56:$AA$56</c:f>
              <c:strCache>
                <c:ptCount val="1"/>
                <c:pt idx="0">
                  <c:v>Orbital Data Center</c:v>
                </c:pt>
              </c:strCache>
            </c:strRef>
          </c:tx>
          <c:spPr>
            <a:solidFill>
              <a:schemeClr val="accent2"/>
            </a:solidFill>
            <a:ln>
              <a:noFill/>
            </a:ln>
            <a:effectLst/>
          </c:spPr>
          <c:invertIfNegative val="0"/>
          <c:cat>
            <c:numRef>
              <c:f>'Tabular Data for Plots'!$C$59:$C$78</c:f>
              <c:numCache>
                <c:formatCode>General</c:formatCode>
                <c:ptCount val="20"/>
                <c:pt idx="0">
                  <c:v>2036</c:v>
                </c:pt>
                <c:pt idx="1">
                  <c:v>2037</c:v>
                </c:pt>
                <c:pt idx="2">
                  <c:v>2038</c:v>
                </c:pt>
                <c:pt idx="3">
                  <c:v>2039</c:v>
                </c:pt>
                <c:pt idx="4">
                  <c:v>2040</c:v>
                </c:pt>
                <c:pt idx="5">
                  <c:v>2041</c:v>
                </c:pt>
                <c:pt idx="6">
                  <c:v>2042</c:v>
                </c:pt>
                <c:pt idx="7">
                  <c:v>2043</c:v>
                </c:pt>
                <c:pt idx="8">
                  <c:v>2044</c:v>
                </c:pt>
                <c:pt idx="9">
                  <c:v>2045</c:v>
                </c:pt>
                <c:pt idx="10">
                  <c:v>2046</c:v>
                </c:pt>
                <c:pt idx="11">
                  <c:v>2047</c:v>
                </c:pt>
                <c:pt idx="12">
                  <c:v>2048</c:v>
                </c:pt>
                <c:pt idx="13">
                  <c:v>2049</c:v>
                </c:pt>
                <c:pt idx="14">
                  <c:v>2050</c:v>
                </c:pt>
                <c:pt idx="15">
                  <c:v>2051</c:v>
                </c:pt>
                <c:pt idx="16">
                  <c:v>2052</c:v>
                </c:pt>
                <c:pt idx="17">
                  <c:v>2053</c:v>
                </c:pt>
                <c:pt idx="18">
                  <c:v>2054</c:v>
                </c:pt>
                <c:pt idx="19">
                  <c:v>2055</c:v>
                </c:pt>
              </c:numCache>
            </c:numRef>
          </c:cat>
          <c:val>
            <c:numRef>
              <c:f>'Tabular Data for Plots'!$T$59:$T$78</c:f>
              <c:numCache>
                <c:formatCode>_("$"* #,##0_);_("$"* \(#,##0\);_("$"* "-"??_);_(@_)</c:formatCode>
                <c:ptCount val="20"/>
                <c:pt idx="0">
                  <c:v>62721479241.416985</c:v>
                </c:pt>
                <c:pt idx="1">
                  <c:v>2471027784.6348448</c:v>
                </c:pt>
                <c:pt idx="2">
                  <c:v>2246388895.1225863</c:v>
                </c:pt>
                <c:pt idx="3">
                  <c:v>2042171722.8387144</c:v>
                </c:pt>
                <c:pt idx="4">
                  <c:v>1856519748.0351949</c:v>
                </c:pt>
                <c:pt idx="5">
                  <c:v>1687745225.4865406</c:v>
                </c:pt>
                <c:pt idx="6">
                  <c:v>1534313841.3514004</c:v>
                </c:pt>
                <c:pt idx="7">
                  <c:v>1394830764.8649092</c:v>
                </c:pt>
                <c:pt idx="8">
                  <c:v>1268027968.0590086</c:v>
                </c:pt>
                <c:pt idx="9">
                  <c:v>1152752698.2354622</c:v>
                </c:pt>
                <c:pt idx="10">
                  <c:v>1047956998.3958746</c:v>
                </c:pt>
                <c:pt idx="11">
                  <c:v>952688180.35988593</c:v>
                </c:pt>
                <c:pt idx="12">
                  <c:v>866080163.96353269</c:v>
                </c:pt>
                <c:pt idx="13">
                  <c:v>787345603.60321152</c:v>
                </c:pt>
                <c:pt idx="14">
                  <c:v>715768730.54837394</c:v>
                </c:pt>
                <c:pt idx="15">
                  <c:v>650698845.95306718</c:v>
                </c:pt>
                <c:pt idx="16">
                  <c:v>591544405.4118793</c:v>
                </c:pt>
                <c:pt idx="17">
                  <c:v>537767641.28352654</c:v>
                </c:pt>
                <c:pt idx="18">
                  <c:v>488879673.89411503</c:v>
                </c:pt>
                <c:pt idx="19">
                  <c:v>444436067.17646813</c:v>
                </c:pt>
              </c:numCache>
            </c:numRef>
          </c:val>
          <c:extLst>
            <c:ext xmlns:c16="http://schemas.microsoft.com/office/drawing/2014/chart" uri="{C3380CC4-5D6E-409C-BE32-E72D297353CC}">
              <c16:uniqueId val="{00000001-F72B-4213-8B00-C09216EB7DBC}"/>
            </c:ext>
          </c:extLst>
        </c:ser>
        <c:dLbls>
          <c:showLegendKey val="0"/>
          <c:showVal val="0"/>
          <c:showCatName val="0"/>
          <c:showSerName val="0"/>
          <c:showPercent val="0"/>
          <c:showBubbleSize val="0"/>
        </c:dLbls>
        <c:gapWidth val="219"/>
        <c:overlap val="-27"/>
        <c:axId val="1296276480"/>
        <c:axId val="1296266400"/>
      </c:barChart>
      <c:catAx>
        <c:axId val="1296276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96266400"/>
        <c:crosses val="autoZero"/>
        <c:auto val="1"/>
        <c:lblAlgn val="ctr"/>
        <c:lblOffset val="100"/>
        <c:noMultiLvlLbl val="0"/>
      </c:catAx>
      <c:valAx>
        <c:axId val="1296266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Cash Flow (Expenditures)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96276480"/>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cap="small" baseline="0"/>
              <a:t>Cost Progression Across Technology Scenarios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lineChart>
        <c:grouping val="standard"/>
        <c:varyColors val="0"/>
        <c:ser>
          <c:idx val="0"/>
          <c:order val="0"/>
          <c:tx>
            <c:v>TDC CapEx</c:v>
          </c:tx>
          <c:spPr>
            <a:ln w="28575" cap="rnd">
              <a:solidFill>
                <a:schemeClr val="accent3"/>
              </a:solidFill>
              <a:prstDash val="sysDot"/>
              <a:round/>
            </a:ln>
            <a:effectLst/>
          </c:spPr>
          <c:marker>
            <c:symbol val="none"/>
          </c:marker>
          <c:cat>
            <c:strRef>
              <c:f>Model!$C$4:$E$4</c:f>
              <c:strCache>
                <c:ptCount val="3"/>
                <c:pt idx="0">
                  <c:v>Tech Today</c:v>
                </c:pt>
                <c:pt idx="1">
                  <c:v>Next Gen</c:v>
                </c:pt>
                <c:pt idx="2">
                  <c:v>Future Concept</c:v>
                </c:pt>
              </c:strCache>
            </c:strRef>
          </c:cat>
          <c:val>
            <c:numRef>
              <c:f>Model!$C$86:$E$86</c:f>
              <c:numCache>
                <c:formatCode>_("$"* #,##0.0_);_("$"* \(#,##0.0\);_("$"* "-"??_);_(@_)</c:formatCode>
                <c:ptCount val="3"/>
                <c:pt idx="0">
                  <c:v>47.764705882352935</c:v>
                </c:pt>
                <c:pt idx="1">
                  <c:v>55.982198952879585</c:v>
                </c:pt>
                <c:pt idx="2">
                  <c:v>65.465505226480829</c:v>
                </c:pt>
              </c:numCache>
            </c:numRef>
          </c:val>
          <c:smooth val="0"/>
          <c:extLst>
            <c:ext xmlns:c16="http://schemas.microsoft.com/office/drawing/2014/chart" uri="{C3380CC4-5D6E-409C-BE32-E72D297353CC}">
              <c16:uniqueId val="{00000000-66AE-4121-9B2B-6557A0E43CC5}"/>
            </c:ext>
          </c:extLst>
        </c:ser>
        <c:ser>
          <c:idx val="2"/>
          <c:order val="2"/>
          <c:tx>
            <c:v>TDC Total Cost</c:v>
          </c:tx>
          <c:spPr>
            <a:ln w="28575" cap="rnd">
              <a:solidFill>
                <a:schemeClr val="accent3"/>
              </a:solidFill>
              <a:prstDash val="solid"/>
              <a:round/>
            </a:ln>
            <a:effectLst/>
          </c:spPr>
          <c:marker>
            <c:symbol val="none"/>
          </c:marker>
          <c:cat>
            <c:strRef>
              <c:f>Model!$C$4:$E$4</c:f>
              <c:strCache>
                <c:ptCount val="3"/>
                <c:pt idx="0">
                  <c:v>Tech Today</c:v>
                </c:pt>
                <c:pt idx="1">
                  <c:v>Next Gen</c:v>
                </c:pt>
                <c:pt idx="2">
                  <c:v>Future Concept</c:v>
                </c:pt>
              </c:strCache>
            </c:strRef>
          </c:cat>
          <c:val>
            <c:numRef>
              <c:f>Model!$C$97:$E$97</c:f>
              <c:numCache>
                <c:formatCode>_("$"* #,##0.0_);_("$"* \(#,##0.0\);_("$"* "-"??_);_(@_)</c:formatCode>
                <c:ptCount val="3"/>
                <c:pt idx="0">
                  <c:v>101.87941502763609</c:v>
                </c:pt>
                <c:pt idx="1">
                  <c:v>117.44812933460338</c:v>
                </c:pt>
                <c:pt idx="2">
                  <c:v>135.74803086899453</c:v>
                </c:pt>
              </c:numCache>
            </c:numRef>
          </c:val>
          <c:smooth val="0"/>
          <c:extLst>
            <c:ext xmlns:c16="http://schemas.microsoft.com/office/drawing/2014/chart" uri="{C3380CC4-5D6E-409C-BE32-E72D297353CC}">
              <c16:uniqueId val="{00000002-66AE-4121-9B2B-6557A0E43CC5}"/>
            </c:ext>
          </c:extLst>
        </c:ser>
        <c:ser>
          <c:idx val="3"/>
          <c:order val="3"/>
          <c:tx>
            <c:v>ODC CapEx</c:v>
          </c:tx>
          <c:spPr>
            <a:ln w="28575" cap="rnd">
              <a:solidFill>
                <a:schemeClr val="accent2"/>
              </a:solidFill>
              <a:prstDash val="sysDot"/>
              <a:round/>
            </a:ln>
            <a:effectLst/>
          </c:spPr>
          <c:marker>
            <c:symbol val="none"/>
          </c:marker>
          <c:cat>
            <c:strRef>
              <c:f>Model!$C$4:$E$4</c:f>
              <c:strCache>
                <c:ptCount val="3"/>
                <c:pt idx="0">
                  <c:v>Tech Today</c:v>
                </c:pt>
                <c:pt idx="1">
                  <c:v>Next Gen</c:v>
                </c:pt>
                <c:pt idx="2">
                  <c:v>Future Concept</c:v>
                </c:pt>
              </c:strCache>
            </c:strRef>
          </c:cat>
          <c:val>
            <c:numRef>
              <c:f>Model!$J$86:$L$86</c:f>
              <c:numCache>
                <c:formatCode>_("$"* #,##0.0_);_("$"* \(#,##0.0\);_("$"* "-"??_);_(@_)</c:formatCode>
                <c:ptCount val="3"/>
                <c:pt idx="0">
                  <c:v>238.00484854666573</c:v>
                </c:pt>
                <c:pt idx="1">
                  <c:v>89.634301447718371</c:v>
                </c:pt>
                <c:pt idx="2">
                  <c:v>60.003348678318659</c:v>
                </c:pt>
              </c:numCache>
            </c:numRef>
          </c:val>
          <c:smooth val="0"/>
          <c:extLst>
            <c:ext xmlns:c16="http://schemas.microsoft.com/office/drawing/2014/chart" uri="{C3380CC4-5D6E-409C-BE32-E72D297353CC}">
              <c16:uniqueId val="{00000003-66AE-4121-9B2B-6557A0E43CC5}"/>
            </c:ext>
          </c:extLst>
        </c:ser>
        <c:ser>
          <c:idx val="5"/>
          <c:order val="5"/>
          <c:tx>
            <c:v>ODC Total Cost</c:v>
          </c:tx>
          <c:spPr>
            <a:ln w="28575" cap="rnd">
              <a:solidFill>
                <a:schemeClr val="accent2"/>
              </a:solidFill>
              <a:round/>
            </a:ln>
            <a:effectLst/>
          </c:spPr>
          <c:marker>
            <c:symbol val="none"/>
          </c:marker>
          <c:cat>
            <c:strRef>
              <c:f>Model!$C$4:$E$4</c:f>
              <c:strCache>
                <c:ptCount val="3"/>
                <c:pt idx="0">
                  <c:v>Tech Today</c:v>
                </c:pt>
                <c:pt idx="1">
                  <c:v>Next Gen</c:v>
                </c:pt>
                <c:pt idx="2">
                  <c:v>Future Concept</c:v>
                </c:pt>
              </c:strCache>
            </c:strRef>
          </c:cat>
          <c:val>
            <c:numRef>
              <c:f>Model!$J$97:$L$97</c:f>
              <c:numCache>
                <c:formatCode>_("$"* #,##0.0_);_("$"* \(#,##0.0\);_("$"* "-"??_);_(@_)</c:formatCode>
                <c:ptCount val="3"/>
                <c:pt idx="0">
                  <c:v>518.12329781362541</c:v>
                </c:pt>
                <c:pt idx="1">
                  <c:v>145.50559165771571</c:v>
                </c:pt>
                <c:pt idx="2">
                  <c:v>83.144326425879512</c:v>
                </c:pt>
              </c:numCache>
            </c:numRef>
          </c:val>
          <c:smooth val="0"/>
          <c:extLst>
            <c:ext xmlns:c16="http://schemas.microsoft.com/office/drawing/2014/chart" uri="{C3380CC4-5D6E-409C-BE32-E72D297353CC}">
              <c16:uniqueId val="{00000005-66AE-4121-9B2B-6557A0E43CC5}"/>
            </c:ext>
          </c:extLst>
        </c:ser>
        <c:dLbls>
          <c:showLegendKey val="0"/>
          <c:showVal val="0"/>
          <c:showCatName val="0"/>
          <c:showSerName val="0"/>
          <c:showPercent val="0"/>
          <c:showBubbleSize val="0"/>
        </c:dLbls>
        <c:marker val="1"/>
        <c:smooth val="0"/>
        <c:axId val="29813680"/>
        <c:axId val="29812720"/>
      </c:lineChart>
      <c:lineChart>
        <c:grouping val="standard"/>
        <c:varyColors val="0"/>
        <c:ser>
          <c:idx val="1"/>
          <c:order val="1"/>
          <c:tx>
            <c:v>TDC OpEx</c:v>
          </c:tx>
          <c:spPr>
            <a:ln w="28575" cap="rnd">
              <a:solidFill>
                <a:schemeClr val="accent3"/>
              </a:solidFill>
              <a:prstDash val="dash"/>
              <a:round/>
            </a:ln>
            <a:effectLst/>
          </c:spPr>
          <c:marker>
            <c:symbol val="none"/>
          </c:marker>
          <c:cat>
            <c:strRef>
              <c:f>Model!$C$4:$E$4</c:f>
              <c:strCache>
                <c:ptCount val="3"/>
                <c:pt idx="0">
                  <c:v>Tech Today</c:v>
                </c:pt>
                <c:pt idx="1">
                  <c:v>Next Gen</c:v>
                </c:pt>
                <c:pt idx="2">
                  <c:v>Future Concept</c:v>
                </c:pt>
              </c:strCache>
            </c:strRef>
          </c:cat>
          <c:val>
            <c:numRef>
              <c:f>Model!$C$93:$E$93</c:f>
              <c:numCache>
                <c:formatCode>_("$"* #,##0.0_);_("$"* \(#,##0.0\);_("$"* "-"??_);_(@_)</c:formatCode>
                <c:ptCount val="3"/>
                <c:pt idx="0">
                  <c:v>6.3562934308804095</c:v>
                </c:pt>
                <c:pt idx="1">
                  <c:v>7.2197651189326972</c:v>
                </c:pt>
                <c:pt idx="2">
                  <c:v>8.255359090036487</c:v>
                </c:pt>
              </c:numCache>
            </c:numRef>
          </c:val>
          <c:smooth val="0"/>
          <c:extLst>
            <c:ext xmlns:c16="http://schemas.microsoft.com/office/drawing/2014/chart" uri="{C3380CC4-5D6E-409C-BE32-E72D297353CC}">
              <c16:uniqueId val="{00000001-66AE-4121-9B2B-6557A0E43CC5}"/>
            </c:ext>
          </c:extLst>
        </c:ser>
        <c:ser>
          <c:idx val="4"/>
          <c:order val="4"/>
          <c:tx>
            <c:v>ODC OpEx</c:v>
          </c:tx>
          <c:spPr>
            <a:ln w="28575" cap="rnd">
              <a:solidFill>
                <a:schemeClr val="accent2"/>
              </a:solidFill>
              <a:prstDash val="dash"/>
              <a:round/>
            </a:ln>
            <a:effectLst/>
          </c:spPr>
          <c:marker>
            <c:symbol val="none"/>
          </c:marker>
          <c:cat>
            <c:strRef>
              <c:f>Model!$C$4:$E$4</c:f>
              <c:strCache>
                <c:ptCount val="3"/>
                <c:pt idx="0">
                  <c:v>Tech Today</c:v>
                </c:pt>
                <c:pt idx="1">
                  <c:v>Next Gen</c:v>
                </c:pt>
                <c:pt idx="2">
                  <c:v>Future Concept</c:v>
                </c:pt>
              </c:strCache>
            </c:strRef>
          </c:cat>
          <c:val>
            <c:numRef>
              <c:f>Model!$J$93:$L$93</c:f>
              <c:numCache>
                <c:formatCode>_("$"* #,##0.0_);_("$"* \(#,##0.0\);_("$"* "-"??_);_(@_)</c:formatCode>
                <c:ptCount val="3"/>
                <c:pt idx="0">
                  <c:v>32.902607942764483</c:v>
                </c:pt>
                <c:pt idx="1">
                  <c:v>6.5626207836242969</c:v>
                </c:pt>
                <c:pt idx="2">
                  <c:v>2.7181305630983297</c:v>
                </c:pt>
              </c:numCache>
            </c:numRef>
          </c:val>
          <c:smooth val="0"/>
          <c:extLst>
            <c:ext xmlns:c16="http://schemas.microsoft.com/office/drawing/2014/chart" uri="{C3380CC4-5D6E-409C-BE32-E72D297353CC}">
              <c16:uniqueId val="{00000004-66AE-4121-9B2B-6557A0E43CC5}"/>
            </c:ext>
          </c:extLst>
        </c:ser>
        <c:dLbls>
          <c:showLegendKey val="0"/>
          <c:showVal val="0"/>
          <c:showCatName val="0"/>
          <c:showSerName val="0"/>
          <c:showPercent val="0"/>
          <c:showBubbleSize val="0"/>
        </c:dLbls>
        <c:marker val="1"/>
        <c:smooth val="0"/>
        <c:axId val="276482064"/>
        <c:axId val="276481104"/>
      </c:lineChart>
      <c:catAx>
        <c:axId val="29813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Technology Scenario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29812720"/>
        <c:crosses val="autoZero"/>
        <c:auto val="1"/>
        <c:lblAlgn val="ctr"/>
        <c:lblOffset val="100"/>
        <c:noMultiLvlLbl val="0"/>
      </c:catAx>
      <c:valAx>
        <c:axId val="29812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CapEx &amp; Total Cost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numFmt formatCode="_(&quot;$&quot;* #,##0_);_(&quot;$&quot;* \(#,##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29813680"/>
        <c:crosses val="autoZero"/>
        <c:crossBetween val="between"/>
      </c:valAx>
      <c:valAx>
        <c:axId val="2764811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OpEx [$B/year]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numFmt formatCode="_(&quot;$&quot;* #,##0_);_(&quot;$&quot;* \(#,##0.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276482064"/>
        <c:crosses val="max"/>
        <c:crossBetween val="between"/>
      </c:valAx>
      <c:catAx>
        <c:axId val="276482064"/>
        <c:scaling>
          <c:orientation val="minMax"/>
        </c:scaling>
        <c:delete val="1"/>
        <c:axPos val="b"/>
        <c:numFmt formatCode="General" sourceLinked="1"/>
        <c:majorTickMark val="out"/>
        <c:minorTickMark val="none"/>
        <c:tickLblPos val="nextTo"/>
        <c:crossAx val="27648110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cap="small" baseline="0"/>
              <a:t>Next Generation Technology : Total Cost vs. Launch Price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scatterChart>
        <c:scatterStyle val="lineMarker"/>
        <c:varyColors val="0"/>
        <c:ser>
          <c:idx val="0"/>
          <c:order val="0"/>
          <c:tx>
            <c:v>ODC 20-year Total Cost</c:v>
          </c:tx>
          <c:spPr>
            <a:ln w="19050" cap="rnd">
              <a:solidFill>
                <a:schemeClr val="accent2"/>
              </a:solidFill>
              <a:round/>
            </a:ln>
            <a:effectLst/>
          </c:spPr>
          <c:marker>
            <c:symbol val="none"/>
          </c:marker>
          <c:xVal>
            <c:numRef>
              <c:f>Model!$Z$96:$AD$96</c:f>
              <c:numCache>
                <c:formatCode>_("$"* #,##0_);_("$"* \(#,##0\);_("$"* "-"??_);_(@_)</c:formatCode>
                <c:ptCount val="5"/>
                <c:pt idx="0">
                  <c:v>4000</c:v>
                </c:pt>
                <c:pt idx="1">
                  <c:v>3000</c:v>
                </c:pt>
                <c:pt idx="2">
                  <c:v>2000</c:v>
                </c:pt>
                <c:pt idx="3">
                  <c:v>1000</c:v>
                </c:pt>
                <c:pt idx="4">
                  <c:v>0</c:v>
                </c:pt>
              </c:numCache>
            </c:numRef>
          </c:xVal>
          <c:yVal>
            <c:numRef>
              <c:f>Model!$Z$97:$AD$97</c:f>
              <c:numCache>
                <c:formatCode>_("$"* #,##0.0_);_("$"* \(#,##0.0\);_("$"* "-"??_);_(@_)</c:formatCode>
                <c:ptCount val="5"/>
                <c:pt idx="0">
                  <c:v>259.1357977028091</c:v>
                </c:pt>
                <c:pt idx="1">
                  <c:v>222.4808925269725</c:v>
                </c:pt>
                <c:pt idx="2">
                  <c:v>185.82598735113595</c:v>
                </c:pt>
                <c:pt idx="3">
                  <c:v>149.17108217529938</c:v>
                </c:pt>
                <c:pt idx="4">
                  <c:v>112.51617699946277</c:v>
                </c:pt>
              </c:numCache>
            </c:numRef>
          </c:yVal>
          <c:smooth val="0"/>
          <c:extLst>
            <c:ext xmlns:c16="http://schemas.microsoft.com/office/drawing/2014/chart" uri="{C3380CC4-5D6E-409C-BE32-E72D297353CC}">
              <c16:uniqueId val="{00000000-F172-4350-807A-5174C78866F1}"/>
            </c:ext>
          </c:extLst>
        </c:ser>
        <c:ser>
          <c:idx val="1"/>
          <c:order val="1"/>
          <c:tx>
            <c:v>TDC 20-year Total Cost</c:v>
          </c:tx>
          <c:spPr>
            <a:ln w="19050" cap="rnd">
              <a:solidFill>
                <a:schemeClr val="accent3"/>
              </a:solidFill>
              <a:prstDash val="dash"/>
              <a:round/>
            </a:ln>
            <a:effectLst/>
          </c:spPr>
          <c:marker>
            <c:symbol val="none"/>
          </c:marker>
          <c:xVal>
            <c:numRef>
              <c:f>Model!$Z$96:$AD$96</c:f>
              <c:numCache>
                <c:formatCode>_("$"* #,##0_);_("$"* \(#,##0\);_("$"* "-"??_);_(@_)</c:formatCode>
                <c:ptCount val="5"/>
                <c:pt idx="0">
                  <c:v>4000</c:v>
                </c:pt>
                <c:pt idx="1">
                  <c:v>3000</c:v>
                </c:pt>
                <c:pt idx="2">
                  <c:v>2000</c:v>
                </c:pt>
                <c:pt idx="3">
                  <c:v>1000</c:v>
                </c:pt>
                <c:pt idx="4">
                  <c:v>0</c:v>
                </c:pt>
              </c:numCache>
            </c:numRef>
          </c:xVal>
          <c:yVal>
            <c:numRef>
              <c:f>Model!$Z$98:$AD$98</c:f>
              <c:numCache>
                <c:formatCode>_("$"* #,##0.0_);_("$"* \(#,##0.0\);_("$"* "-"??_);_(@_)</c:formatCode>
                <c:ptCount val="5"/>
                <c:pt idx="0">
                  <c:v>117.44812933460338</c:v>
                </c:pt>
                <c:pt idx="1">
                  <c:v>117.44812933460338</c:v>
                </c:pt>
                <c:pt idx="2">
                  <c:v>117.44812933460338</c:v>
                </c:pt>
                <c:pt idx="3">
                  <c:v>117.44812933460338</c:v>
                </c:pt>
                <c:pt idx="4">
                  <c:v>117.44812933460338</c:v>
                </c:pt>
              </c:numCache>
            </c:numRef>
          </c:yVal>
          <c:smooth val="0"/>
          <c:extLst>
            <c:ext xmlns:c16="http://schemas.microsoft.com/office/drawing/2014/chart" uri="{C3380CC4-5D6E-409C-BE32-E72D297353CC}">
              <c16:uniqueId val="{00000001-F172-4350-807A-5174C78866F1}"/>
            </c:ext>
          </c:extLst>
        </c:ser>
        <c:ser>
          <c:idx val="2"/>
          <c:order val="2"/>
          <c:tx>
            <c:v>Break-even Point</c:v>
          </c:tx>
          <c:spPr>
            <a:ln w="19050" cap="rnd">
              <a:solidFill>
                <a:schemeClr val="accent3"/>
              </a:solidFill>
              <a:round/>
            </a:ln>
            <a:effectLst/>
          </c:spPr>
          <c:marker>
            <c:symbol val="diamond"/>
            <c:size val="10"/>
            <c:spPr>
              <a:solidFill>
                <a:srgbClr val="FFC000"/>
              </a:solidFill>
              <a:ln w="9525">
                <a:solidFill>
                  <a:srgbClr val="FFC000"/>
                </a:solidFill>
              </a:ln>
              <a:effectLst/>
            </c:spPr>
          </c:marker>
          <c:xVal>
            <c:numRef>
              <c:f>Model!$Z$101</c:f>
              <c:numCache>
                <c:formatCode>_("$"* #,##0.00_);_("$"* \(#,##0.00\);_("$"* "-"??_);_(@_)</c:formatCode>
                <c:ptCount val="1"/>
                <c:pt idx="0">
                  <c:v>134.55095058851234</c:v>
                </c:pt>
              </c:numCache>
            </c:numRef>
          </c:xVal>
          <c:yVal>
            <c:numRef>
              <c:f>Model!$Z$98</c:f>
              <c:numCache>
                <c:formatCode>_("$"* #,##0.0_);_("$"* \(#,##0.0\);_("$"* "-"??_);_(@_)</c:formatCode>
                <c:ptCount val="1"/>
                <c:pt idx="0">
                  <c:v>117.44812933460338</c:v>
                </c:pt>
              </c:numCache>
            </c:numRef>
          </c:yVal>
          <c:smooth val="0"/>
          <c:extLst>
            <c:ext xmlns:c16="http://schemas.microsoft.com/office/drawing/2014/chart" uri="{C3380CC4-5D6E-409C-BE32-E72D297353CC}">
              <c16:uniqueId val="{00000002-F172-4350-807A-5174C78866F1}"/>
            </c:ext>
          </c:extLst>
        </c:ser>
        <c:ser>
          <c:idx val="3"/>
          <c:order val="3"/>
          <c:tx>
            <c:v>Falcon 9</c:v>
          </c:tx>
          <c:spPr>
            <a:ln w="19050" cap="rnd">
              <a:solidFill>
                <a:schemeClr val="accent4"/>
              </a:solidFill>
              <a:round/>
            </a:ln>
            <a:effectLst/>
          </c:spPr>
          <c:marker>
            <c:symbol val="diamond"/>
            <c:size val="10"/>
            <c:spPr>
              <a:solidFill>
                <a:srgbClr val="FF0000"/>
              </a:solidFill>
              <a:ln w="9525">
                <a:solidFill>
                  <a:srgbClr val="FF0000"/>
                </a:solidFill>
              </a:ln>
              <a:effectLst/>
            </c:spPr>
          </c:marker>
          <c:xVal>
            <c:numRef>
              <c:f>Model!$Z$96</c:f>
              <c:numCache>
                <c:formatCode>_("$"* #,##0_);_("$"* \(#,##0\);_("$"* "-"??_);_(@_)</c:formatCode>
                <c:ptCount val="1"/>
                <c:pt idx="0">
                  <c:v>4000</c:v>
                </c:pt>
              </c:numCache>
            </c:numRef>
          </c:xVal>
          <c:yVal>
            <c:numRef>
              <c:f>Model!$Z$97</c:f>
              <c:numCache>
                <c:formatCode>_("$"* #,##0.0_);_("$"* \(#,##0.0\);_("$"* "-"??_);_(@_)</c:formatCode>
                <c:ptCount val="1"/>
                <c:pt idx="0">
                  <c:v>259.1357977028091</c:v>
                </c:pt>
              </c:numCache>
            </c:numRef>
          </c:yVal>
          <c:smooth val="0"/>
          <c:extLst>
            <c:ext xmlns:c16="http://schemas.microsoft.com/office/drawing/2014/chart" uri="{C3380CC4-5D6E-409C-BE32-E72D297353CC}">
              <c16:uniqueId val="{00000003-F172-4350-807A-5174C78866F1}"/>
            </c:ext>
          </c:extLst>
        </c:ser>
        <c:ser>
          <c:idx val="4"/>
          <c:order val="4"/>
          <c:tx>
            <c:strRef>
              <c:f>Model!$AC$100</c:f>
              <c:strCache>
                <c:ptCount val="1"/>
                <c:pt idx="0">
                  <c:v>Starship (Initial)</c:v>
                </c:pt>
              </c:strCache>
            </c:strRef>
          </c:tx>
          <c:spPr>
            <a:ln w="19050" cap="rnd">
              <a:solidFill>
                <a:schemeClr val="accent5"/>
              </a:solidFill>
              <a:round/>
            </a:ln>
            <a:effectLst/>
          </c:spPr>
          <c:marker>
            <c:symbol val="diamond"/>
            <c:size val="10"/>
            <c:spPr>
              <a:solidFill>
                <a:srgbClr val="7030A0"/>
              </a:solidFill>
              <a:ln w="9525">
                <a:solidFill>
                  <a:srgbClr val="7030A0"/>
                </a:solidFill>
              </a:ln>
              <a:effectLst/>
            </c:spPr>
          </c:marker>
          <c:xVal>
            <c:numLit>
              <c:formatCode>General</c:formatCode>
              <c:ptCount val="1"/>
              <c:pt idx="0">
                <c:v>900</c:v>
              </c:pt>
            </c:numLit>
          </c:xVal>
          <c:yVal>
            <c:numRef>
              <c:f>Model!$AD$100</c:f>
              <c:numCache>
                <c:formatCode>_("$"* #,##0.00_);_("$"* \(#,##0.00\);_("$"* "-"??_);_(@_)</c:formatCode>
                <c:ptCount val="1"/>
                <c:pt idx="0">
                  <c:v>145.50559165771571</c:v>
                </c:pt>
              </c:numCache>
            </c:numRef>
          </c:yVal>
          <c:smooth val="0"/>
          <c:extLst>
            <c:ext xmlns:c16="http://schemas.microsoft.com/office/drawing/2014/chart" uri="{C3380CC4-5D6E-409C-BE32-E72D297353CC}">
              <c16:uniqueId val="{00000004-F172-4350-807A-5174C78866F1}"/>
            </c:ext>
          </c:extLst>
        </c:ser>
        <c:ser>
          <c:idx val="5"/>
          <c:order val="5"/>
          <c:tx>
            <c:v>Starship</c:v>
          </c:tx>
          <c:spPr>
            <a:ln w="19050" cap="rnd">
              <a:solidFill>
                <a:schemeClr val="accent6"/>
              </a:solidFill>
              <a:round/>
            </a:ln>
            <a:effectLst/>
          </c:spPr>
          <c:marker>
            <c:symbol val="diamond"/>
            <c:size val="10"/>
            <c:spPr>
              <a:solidFill>
                <a:schemeClr val="tx1"/>
              </a:solidFill>
              <a:ln w="9525">
                <a:solidFill>
                  <a:schemeClr val="tx1"/>
                </a:solidFill>
              </a:ln>
              <a:effectLst/>
            </c:spPr>
          </c:marker>
          <c:xVal>
            <c:numLit>
              <c:formatCode>General</c:formatCode>
              <c:ptCount val="1"/>
              <c:pt idx="0">
                <c:v>100</c:v>
              </c:pt>
            </c:numLit>
          </c:xVal>
          <c:yVal>
            <c:numRef>
              <c:f>Model!$AD$101</c:f>
              <c:numCache>
                <c:formatCode>_("$"* #,##0.00_);_("$"* \(#,##0.00\);_("$"* "-"??_);_(@_)</c:formatCode>
                <c:ptCount val="1"/>
                <c:pt idx="0">
                  <c:v>116.18166751704645</c:v>
                </c:pt>
              </c:numCache>
            </c:numRef>
          </c:yVal>
          <c:smooth val="0"/>
          <c:extLst>
            <c:ext xmlns:c16="http://schemas.microsoft.com/office/drawing/2014/chart" uri="{C3380CC4-5D6E-409C-BE32-E72D297353CC}">
              <c16:uniqueId val="{00000005-F172-4350-807A-5174C78866F1}"/>
            </c:ext>
          </c:extLst>
        </c:ser>
        <c:dLbls>
          <c:showLegendKey val="0"/>
          <c:showVal val="0"/>
          <c:showCatName val="0"/>
          <c:showSerName val="0"/>
          <c:showPercent val="0"/>
          <c:showBubbleSize val="0"/>
        </c:dLbls>
        <c:axId val="688950816"/>
        <c:axId val="688964736"/>
      </c:scatterChart>
      <c:valAx>
        <c:axId val="688950816"/>
        <c:scaling>
          <c:orientation val="minMax"/>
          <c:max val="4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Launch Price [$/kg]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688964736"/>
        <c:crosses val="autoZero"/>
        <c:crossBetween val="midCat"/>
      </c:valAx>
      <c:valAx>
        <c:axId val="688964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Total Cost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0\);_(&quot;$&quot;* &quot;-&quot;??_);_(@_)"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688950816"/>
        <c:crosses val="autoZero"/>
        <c:crossBetween val="midCat"/>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OpEx Comparison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Model!$B$2</c:f>
              <c:strCache>
                <c:ptCount val="1"/>
                <c:pt idx="0">
                  <c:v>Terrestrial Data Center</c:v>
                </c:pt>
              </c:strCache>
            </c:strRef>
          </c:tx>
          <c:spPr>
            <a:solidFill>
              <a:schemeClr val="accent3"/>
            </a:solidFill>
            <a:ln>
              <a:noFill/>
            </a:ln>
            <a:effectLst/>
          </c:spPr>
          <c:invertIfNegative val="0"/>
          <c:cat>
            <c:strRef>
              <c:f>Model!$B$88:$B$91</c:f>
              <c:strCache>
                <c:ptCount val="4"/>
                <c:pt idx="0">
                  <c:v>Power OpEx</c:v>
                </c:pt>
                <c:pt idx="1">
                  <c:v>Compute OpEx</c:v>
                </c:pt>
                <c:pt idx="2">
                  <c:v>Cooling OpEx</c:v>
                </c:pt>
                <c:pt idx="3">
                  <c:v>Deployment OpEx</c:v>
                </c:pt>
              </c:strCache>
            </c:strRef>
          </c:cat>
          <c:val>
            <c:numRef>
              <c:f>Model!$C$88:$C$91</c:f>
              <c:numCache>
                <c:formatCode>_("$"* #,##0_);_("$"* \(#,##0\);_("$"* "-"??_);_(@_)</c:formatCode>
                <c:ptCount val="4"/>
                <c:pt idx="0">
                  <c:v>546.62400000000002</c:v>
                </c:pt>
                <c:pt idx="1">
                  <c:v>548.25</c:v>
                </c:pt>
                <c:pt idx="2">
                  <c:v>25.537077939233818</c:v>
                </c:pt>
                <c:pt idx="3">
                  <c:v>5235.8823529411757</c:v>
                </c:pt>
              </c:numCache>
            </c:numRef>
          </c:val>
          <c:extLst>
            <c:ext xmlns:c16="http://schemas.microsoft.com/office/drawing/2014/chart" uri="{C3380CC4-5D6E-409C-BE32-E72D297353CC}">
              <c16:uniqueId val="{00000000-DDC2-4CF2-AF5F-C87034C44659}"/>
            </c:ext>
          </c:extLst>
        </c:ser>
        <c:ser>
          <c:idx val="2"/>
          <c:order val="1"/>
          <c:tx>
            <c:strRef>
              <c:f>Model!$I$2</c:f>
              <c:strCache>
                <c:ptCount val="1"/>
                <c:pt idx="0">
                  <c:v>Orbital Data Center</c:v>
                </c:pt>
              </c:strCache>
            </c:strRef>
          </c:tx>
          <c:spPr>
            <a:solidFill>
              <a:schemeClr val="accent2"/>
            </a:solidFill>
            <a:ln>
              <a:noFill/>
            </a:ln>
            <a:effectLst/>
          </c:spPr>
          <c:invertIfNegative val="0"/>
          <c:cat>
            <c:strRef>
              <c:f>Model!$B$88:$B$91</c:f>
              <c:strCache>
                <c:ptCount val="4"/>
                <c:pt idx="0">
                  <c:v>Power OpEx</c:v>
                </c:pt>
                <c:pt idx="1">
                  <c:v>Compute OpEx</c:v>
                </c:pt>
                <c:pt idx="2">
                  <c:v>Cooling OpEx</c:v>
                </c:pt>
                <c:pt idx="3">
                  <c:v>Deployment OpEx</c:v>
                </c:pt>
              </c:strCache>
            </c:strRef>
          </c:cat>
          <c:val>
            <c:numRef>
              <c:f>Model!$J$88:$J$91</c:f>
              <c:numCache>
                <c:formatCode>_("$"* #,##0_);_("$"* \(#,##0\);_("$"* "-"??_);_(@_)</c:formatCode>
                <c:ptCount val="4"/>
                <c:pt idx="0">
                  <c:v>0</c:v>
                </c:pt>
                <c:pt idx="1">
                  <c:v>0</c:v>
                </c:pt>
                <c:pt idx="2">
                  <c:v>0</c:v>
                </c:pt>
                <c:pt idx="3">
                  <c:v>32902.60794276448</c:v>
                </c:pt>
              </c:numCache>
            </c:numRef>
          </c:val>
          <c:extLst>
            <c:ext xmlns:c16="http://schemas.microsoft.com/office/drawing/2014/chart" uri="{C3380CC4-5D6E-409C-BE32-E72D297353CC}">
              <c16:uniqueId val="{00000001-DDC2-4CF2-AF5F-C87034C44659}"/>
            </c:ext>
          </c:extLst>
        </c:ser>
        <c:dLbls>
          <c:showLegendKey val="0"/>
          <c:showVal val="0"/>
          <c:showCatName val="0"/>
          <c:showSerName val="0"/>
          <c:showPercent val="0"/>
          <c:showBubbleSize val="0"/>
        </c:dLbls>
        <c:gapWidth val="219"/>
        <c:overlap val="-27"/>
        <c:axId val="770820864"/>
        <c:axId val="925949952"/>
      </c:barChart>
      <c:catAx>
        <c:axId val="77082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925949952"/>
        <c:crosses val="autoZero"/>
        <c:auto val="1"/>
        <c:lblAlgn val="ctr"/>
        <c:lblOffset val="100"/>
        <c:noMultiLvlLbl val="0"/>
      </c:catAx>
      <c:valAx>
        <c:axId val="9259499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770820864"/>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ODC OpEx Breakdown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50-4C9B-AE96-621872DA0F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350-4C9B-AE96-621872DA0F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350-4C9B-AE96-621872DA0F8E}"/>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6350-4C9B-AE96-621872DA0F8E}"/>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Model!$B$88:$B$91</c:f>
              <c:strCache>
                <c:ptCount val="4"/>
                <c:pt idx="0">
                  <c:v>Power OpEx</c:v>
                </c:pt>
                <c:pt idx="1">
                  <c:v>Compute OpEx</c:v>
                </c:pt>
                <c:pt idx="2">
                  <c:v>Cooling OpEx</c:v>
                </c:pt>
                <c:pt idx="3">
                  <c:v>Deployment OpEx</c:v>
                </c:pt>
              </c:strCache>
            </c:strRef>
          </c:cat>
          <c:val>
            <c:numRef>
              <c:f>Model!$J$88:$J$91</c:f>
              <c:numCache>
                <c:formatCode>_("$"* #,##0_);_("$"* \(#,##0\);_("$"* "-"??_);_(@_)</c:formatCode>
                <c:ptCount val="4"/>
                <c:pt idx="0">
                  <c:v>0</c:v>
                </c:pt>
                <c:pt idx="1">
                  <c:v>0</c:v>
                </c:pt>
                <c:pt idx="2">
                  <c:v>0</c:v>
                </c:pt>
                <c:pt idx="3">
                  <c:v>32902.60794276448</c:v>
                </c:pt>
              </c:numCache>
            </c:numRef>
          </c:val>
          <c:extLst>
            <c:ext xmlns:c16="http://schemas.microsoft.com/office/drawing/2014/chart" uri="{C3380CC4-5D6E-409C-BE32-E72D297353CC}">
              <c16:uniqueId val="{00000008-6350-4C9B-AE96-621872DA0F8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cap="small" baseline="0">
                <a:latin typeface="Cambria" panose="02040503050406030204" pitchFamily="18" charset="0"/>
                <a:ea typeface="Cambria" panose="02040503050406030204" pitchFamily="18" charset="0"/>
              </a:rPr>
              <a:t>Tech Today : CapEx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barChart>
        <c:barDir val="col"/>
        <c:grouping val="stacked"/>
        <c:varyColors val="0"/>
        <c:ser>
          <c:idx val="0"/>
          <c:order val="0"/>
          <c:tx>
            <c:strRef>
              <c:f>Model!$B$82</c:f>
              <c:strCache>
                <c:ptCount val="1"/>
                <c:pt idx="0">
                  <c:v>Power CapEx</c:v>
                </c:pt>
              </c:strCache>
            </c:strRef>
          </c:tx>
          <c:spPr>
            <a:solidFill>
              <a:schemeClr val="accent1"/>
            </a:solidFill>
            <a:ln>
              <a:noFill/>
            </a:ln>
            <a:effectLst/>
          </c:spPr>
          <c:invertIfNegative val="0"/>
          <c:cat>
            <c:strRef>
              <c:f>(Model!$B$2,Model!$I$2)</c:f>
              <c:strCache>
                <c:ptCount val="2"/>
                <c:pt idx="0">
                  <c:v>Terrestrial Data Center</c:v>
                </c:pt>
                <c:pt idx="1">
                  <c:v>Orbital Data Center</c:v>
                </c:pt>
              </c:strCache>
            </c:strRef>
          </c:cat>
          <c:val>
            <c:numRef>
              <c:f>(Model!$C$82,Model!$J$82)</c:f>
              <c:numCache>
                <c:formatCode>_("$"* #,##0.0_);_("$"* \(#,##0.0\);_("$"* "-"??_);_(@_)</c:formatCode>
                <c:ptCount val="2"/>
                <c:pt idx="1">
                  <c:v>50</c:v>
                </c:pt>
              </c:numCache>
            </c:numRef>
          </c:val>
          <c:extLst>
            <c:ext xmlns:c16="http://schemas.microsoft.com/office/drawing/2014/chart" uri="{C3380CC4-5D6E-409C-BE32-E72D297353CC}">
              <c16:uniqueId val="{00000000-0749-414D-891F-A7B7AF6B70AA}"/>
            </c:ext>
          </c:extLst>
        </c:ser>
        <c:ser>
          <c:idx val="1"/>
          <c:order val="1"/>
          <c:tx>
            <c:strRef>
              <c:f>Model!$B$83</c:f>
              <c:strCache>
                <c:ptCount val="1"/>
                <c:pt idx="0">
                  <c:v>Compute CapEx</c:v>
                </c:pt>
              </c:strCache>
            </c:strRef>
          </c:tx>
          <c:spPr>
            <a:solidFill>
              <a:schemeClr val="accent2"/>
            </a:solidFill>
            <a:ln>
              <a:noFill/>
            </a:ln>
            <a:effectLst/>
          </c:spPr>
          <c:invertIfNegative val="0"/>
          <c:cat>
            <c:strRef>
              <c:f>(Model!$B$2,Model!$I$2)</c:f>
              <c:strCache>
                <c:ptCount val="2"/>
                <c:pt idx="0">
                  <c:v>Terrestrial Data Center</c:v>
                </c:pt>
                <c:pt idx="1">
                  <c:v>Orbital Data Center</c:v>
                </c:pt>
              </c:strCache>
            </c:strRef>
          </c:cat>
          <c:val>
            <c:numRef>
              <c:f>(Model!$C$83,Model!$J$83)</c:f>
              <c:numCache>
                <c:formatCode>_("$"* #,##0.0_);_("$"* \(#,##0.0\);_("$"* "-"??_);_(@_)</c:formatCode>
                <c:ptCount val="2"/>
                <c:pt idx="0">
                  <c:v>35.764705882352935</c:v>
                </c:pt>
                <c:pt idx="1">
                  <c:v>24.470588235294116</c:v>
                </c:pt>
              </c:numCache>
            </c:numRef>
          </c:val>
          <c:extLst>
            <c:ext xmlns:c16="http://schemas.microsoft.com/office/drawing/2014/chart" uri="{C3380CC4-5D6E-409C-BE32-E72D297353CC}">
              <c16:uniqueId val="{00000001-0749-414D-891F-A7B7AF6B70AA}"/>
            </c:ext>
          </c:extLst>
        </c:ser>
        <c:ser>
          <c:idx val="2"/>
          <c:order val="2"/>
          <c:tx>
            <c:strRef>
              <c:f>Model!$B$84</c:f>
              <c:strCache>
                <c:ptCount val="1"/>
                <c:pt idx="0">
                  <c:v>Cooling CapEx</c:v>
                </c:pt>
              </c:strCache>
            </c:strRef>
          </c:tx>
          <c:spPr>
            <a:solidFill>
              <a:schemeClr val="accent3"/>
            </a:solidFill>
            <a:ln>
              <a:noFill/>
            </a:ln>
            <a:effectLst/>
          </c:spPr>
          <c:invertIfNegative val="0"/>
          <c:cat>
            <c:strRef>
              <c:f>(Model!$B$2,Model!$I$2)</c:f>
              <c:strCache>
                <c:ptCount val="2"/>
                <c:pt idx="0">
                  <c:v>Terrestrial Data Center</c:v>
                </c:pt>
                <c:pt idx="1">
                  <c:v>Orbital Data Center</c:v>
                </c:pt>
              </c:strCache>
            </c:strRef>
          </c:cat>
          <c:val>
            <c:numRef>
              <c:f>(Model!$C$84,Model!$J$84)</c:f>
              <c:numCache>
                <c:formatCode>_("$"* #,##0.0_);_("$"* \(#,##0.0\);_("$"* "-"??_);_(@_)</c:formatCode>
                <c:ptCount val="2"/>
                <c:pt idx="1">
                  <c:v>0.27122059754921701</c:v>
                </c:pt>
              </c:numCache>
            </c:numRef>
          </c:val>
          <c:extLst>
            <c:ext xmlns:c16="http://schemas.microsoft.com/office/drawing/2014/chart" uri="{C3380CC4-5D6E-409C-BE32-E72D297353CC}">
              <c16:uniqueId val="{00000002-0749-414D-891F-A7B7AF6B70AA}"/>
            </c:ext>
          </c:extLst>
        </c:ser>
        <c:ser>
          <c:idx val="3"/>
          <c:order val="3"/>
          <c:tx>
            <c:strRef>
              <c:f>Model!$B$85</c:f>
              <c:strCache>
                <c:ptCount val="1"/>
                <c:pt idx="0">
                  <c:v>Deployment CapEx</c:v>
                </c:pt>
              </c:strCache>
            </c:strRef>
          </c:tx>
          <c:spPr>
            <a:solidFill>
              <a:schemeClr val="accent6"/>
            </a:solidFill>
            <a:ln>
              <a:noFill/>
            </a:ln>
            <a:effectLst/>
          </c:spPr>
          <c:invertIfNegative val="0"/>
          <c:cat>
            <c:strRef>
              <c:f>(Model!$B$2,Model!$I$2)</c:f>
              <c:strCache>
                <c:ptCount val="2"/>
                <c:pt idx="0">
                  <c:v>Terrestrial Data Center</c:v>
                </c:pt>
                <c:pt idx="1">
                  <c:v>Orbital Data Center</c:v>
                </c:pt>
              </c:strCache>
            </c:strRef>
          </c:cat>
          <c:val>
            <c:numRef>
              <c:f>(Model!$C$85,Model!$J$85)</c:f>
              <c:numCache>
                <c:formatCode>_("$"* #,##0.0_);_("$"* \(#,##0.0\);_("$"* "-"??_);_(@_)</c:formatCode>
                <c:ptCount val="2"/>
                <c:pt idx="0">
                  <c:v>12</c:v>
                </c:pt>
                <c:pt idx="1">
                  <c:v>163.26303971382239</c:v>
                </c:pt>
              </c:numCache>
            </c:numRef>
          </c:val>
          <c:extLst>
            <c:ext xmlns:c16="http://schemas.microsoft.com/office/drawing/2014/chart" uri="{C3380CC4-5D6E-409C-BE32-E72D297353CC}">
              <c16:uniqueId val="{00000003-0749-414D-891F-A7B7AF6B70AA}"/>
            </c:ext>
          </c:extLst>
        </c:ser>
        <c:dLbls>
          <c:showLegendKey val="0"/>
          <c:showVal val="0"/>
          <c:showCatName val="0"/>
          <c:showSerName val="0"/>
          <c:showPercent val="0"/>
          <c:showBubbleSize val="0"/>
        </c:dLbls>
        <c:gapWidth val="150"/>
        <c:overlap val="100"/>
        <c:axId val="826054400"/>
        <c:axId val="826058240"/>
      </c:barChart>
      <c:catAx>
        <c:axId val="82605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8240"/>
        <c:crosses val="autoZero"/>
        <c:auto val="1"/>
        <c:lblAlgn val="ctr"/>
        <c:lblOffset val="100"/>
        <c:noMultiLvlLbl val="0"/>
      </c:catAx>
      <c:valAx>
        <c:axId val="826058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CapEx</a:t>
                </a:r>
                <a:r>
                  <a:rPr lang="en-US" baseline="0"/>
                  <a:t> [$B]</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numFmt formatCode="_(&quot;$&quot;* #,##0_);_(&quot;$&quot;* \(#,##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US"/>
              <a:t>OpEx Magnitude Comparison [$M/year]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barChart>
        <c:barDir val="col"/>
        <c:grouping val="stacked"/>
        <c:varyColors val="0"/>
        <c:ser>
          <c:idx val="0"/>
          <c:order val="0"/>
          <c:tx>
            <c:strRef>
              <c:f>Model!$B$88</c:f>
              <c:strCache>
                <c:ptCount val="1"/>
                <c:pt idx="0">
                  <c:v>Power OpEx</c:v>
                </c:pt>
              </c:strCache>
            </c:strRef>
          </c:tx>
          <c:spPr>
            <a:solidFill>
              <a:schemeClr val="accent1"/>
            </a:solidFill>
            <a:ln>
              <a:noFill/>
            </a:ln>
            <a:effectLst/>
          </c:spPr>
          <c:invertIfNegative val="0"/>
          <c:cat>
            <c:strRef>
              <c:f>(Model!$B$2,Model!$I$2)</c:f>
              <c:strCache>
                <c:ptCount val="2"/>
                <c:pt idx="0">
                  <c:v>Terrestrial Data Center</c:v>
                </c:pt>
                <c:pt idx="1">
                  <c:v>Orbital Data Center</c:v>
                </c:pt>
              </c:strCache>
            </c:strRef>
          </c:cat>
          <c:val>
            <c:numRef>
              <c:f>(Model!$C$88,Model!$J$88)</c:f>
              <c:numCache>
                <c:formatCode>_("$"* #,##0_);_("$"* \(#,##0\);_("$"* "-"??_);_(@_)</c:formatCode>
                <c:ptCount val="2"/>
                <c:pt idx="0">
                  <c:v>546.62400000000002</c:v>
                </c:pt>
                <c:pt idx="1">
                  <c:v>0</c:v>
                </c:pt>
              </c:numCache>
            </c:numRef>
          </c:val>
          <c:extLst>
            <c:ext xmlns:c16="http://schemas.microsoft.com/office/drawing/2014/chart" uri="{C3380CC4-5D6E-409C-BE32-E72D297353CC}">
              <c16:uniqueId val="{00000000-2144-4630-9A60-6E055E0F5E54}"/>
            </c:ext>
          </c:extLst>
        </c:ser>
        <c:ser>
          <c:idx val="1"/>
          <c:order val="1"/>
          <c:tx>
            <c:strRef>
              <c:f>Model!$B$89</c:f>
              <c:strCache>
                <c:ptCount val="1"/>
                <c:pt idx="0">
                  <c:v>Compute OpEx</c:v>
                </c:pt>
              </c:strCache>
            </c:strRef>
          </c:tx>
          <c:spPr>
            <a:solidFill>
              <a:schemeClr val="accent2"/>
            </a:solidFill>
            <a:ln>
              <a:noFill/>
            </a:ln>
            <a:effectLst/>
          </c:spPr>
          <c:invertIfNegative val="0"/>
          <c:cat>
            <c:strRef>
              <c:f>(Model!$B$2,Model!$I$2)</c:f>
              <c:strCache>
                <c:ptCount val="2"/>
                <c:pt idx="0">
                  <c:v>Terrestrial Data Center</c:v>
                </c:pt>
                <c:pt idx="1">
                  <c:v>Orbital Data Center</c:v>
                </c:pt>
              </c:strCache>
            </c:strRef>
          </c:cat>
          <c:val>
            <c:numRef>
              <c:f>(Model!$C$89,Model!$J$89)</c:f>
              <c:numCache>
                <c:formatCode>_("$"* #,##0_);_("$"* \(#,##0\);_("$"* "-"??_);_(@_)</c:formatCode>
                <c:ptCount val="2"/>
                <c:pt idx="0">
                  <c:v>548.25</c:v>
                </c:pt>
                <c:pt idx="1">
                  <c:v>0</c:v>
                </c:pt>
              </c:numCache>
            </c:numRef>
          </c:val>
          <c:extLst>
            <c:ext xmlns:c16="http://schemas.microsoft.com/office/drawing/2014/chart" uri="{C3380CC4-5D6E-409C-BE32-E72D297353CC}">
              <c16:uniqueId val="{00000001-2144-4630-9A60-6E055E0F5E54}"/>
            </c:ext>
          </c:extLst>
        </c:ser>
        <c:ser>
          <c:idx val="2"/>
          <c:order val="2"/>
          <c:tx>
            <c:strRef>
              <c:f>Model!$B$90</c:f>
              <c:strCache>
                <c:ptCount val="1"/>
                <c:pt idx="0">
                  <c:v>Cooling OpEx</c:v>
                </c:pt>
              </c:strCache>
            </c:strRef>
          </c:tx>
          <c:spPr>
            <a:solidFill>
              <a:schemeClr val="accent3"/>
            </a:solidFill>
            <a:ln>
              <a:noFill/>
            </a:ln>
            <a:effectLst/>
          </c:spPr>
          <c:invertIfNegative val="0"/>
          <c:cat>
            <c:strRef>
              <c:f>(Model!$B$2,Model!$I$2)</c:f>
              <c:strCache>
                <c:ptCount val="2"/>
                <c:pt idx="0">
                  <c:v>Terrestrial Data Center</c:v>
                </c:pt>
                <c:pt idx="1">
                  <c:v>Orbital Data Center</c:v>
                </c:pt>
              </c:strCache>
            </c:strRef>
          </c:cat>
          <c:val>
            <c:numRef>
              <c:f>(Model!$C$90,Model!$J$90)</c:f>
              <c:numCache>
                <c:formatCode>_("$"* #,##0_);_("$"* \(#,##0\);_("$"* "-"??_);_(@_)</c:formatCode>
                <c:ptCount val="2"/>
                <c:pt idx="0">
                  <c:v>25.537077939233818</c:v>
                </c:pt>
                <c:pt idx="1">
                  <c:v>0</c:v>
                </c:pt>
              </c:numCache>
            </c:numRef>
          </c:val>
          <c:extLst>
            <c:ext xmlns:c16="http://schemas.microsoft.com/office/drawing/2014/chart" uri="{C3380CC4-5D6E-409C-BE32-E72D297353CC}">
              <c16:uniqueId val="{00000002-2144-4630-9A60-6E055E0F5E54}"/>
            </c:ext>
          </c:extLst>
        </c:ser>
        <c:ser>
          <c:idx val="3"/>
          <c:order val="3"/>
          <c:tx>
            <c:strRef>
              <c:f>Model!$B$91</c:f>
              <c:strCache>
                <c:ptCount val="1"/>
                <c:pt idx="0">
                  <c:v>Deployment OpEx</c:v>
                </c:pt>
              </c:strCache>
            </c:strRef>
          </c:tx>
          <c:spPr>
            <a:solidFill>
              <a:schemeClr val="accent6"/>
            </a:solidFill>
            <a:ln>
              <a:noFill/>
            </a:ln>
            <a:effectLst/>
          </c:spPr>
          <c:invertIfNegative val="0"/>
          <c:cat>
            <c:strRef>
              <c:f>(Model!$B$2,Model!$I$2)</c:f>
              <c:strCache>
                <c:ptCount val="2"/>
                <c:pt idx="0">
                  <c:v>Terrestrial Data Center</c:v>
                </c:pt>
                <c:pt idx="1">
                  <c:v>Orbital Data Center</c:v>
                </c:pt>
              </c:strCache>
            </c:strRef>
          </c:cat>
          <c:val>
            <c:numRef>
              <c:f>(Model!$C$91,Model!$J$91)</c:f>
              <c:numCache>
                <c:formatCode>_("$"* #,##0_);_("$"* \(#,##0\);_("$"* "-"??_);_(@_)</c:formatCode>
                <c:ptCount val="2"/>
                <c:pt idx="0">
                  <c:v>5235.8823529411757</c:v>
                </c:pt>
                <c:pt idx="1">
                  <c:v>32902.60794276448</c:v>
                </c:pt>
              </c:numCache>
            </c:numRef>
          </c:val>
          <c:extLst>
            <c:ext xmlns:c16="http://schemas.microsoft.com/office/drawing/2014/chart" uri="{C3380CC4-5D6E-409C-BE32-E72D297353CC}">
              <c16:uniqueId val="{00000003-2144-4630-9A60-6E055E0F5E54}"/>
            </c:ext>
          </c:extLst>
        </c:ser>
        <c:dLbls>
          <c:showLegendKey val="0"/>
          <c:showVal val="0"/>
          <c:showCatName val="0"/>
          <c:showSerName val="0"/>
          <c:showPercent val="0"/>
          <c:showBubbleSize val="0"/>
        </c:dLbls>
        <c:gapWidth val="150"/>
        <c:overlap val="100"/>
        <c:axId val="826054400"/>
        <c:axId val="826058240"/>
      </c:barChart>
      <c:catAx>
        <c:axId val="82605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8240"/>
        <c:crosses val="autoZero"/>
        <c:auto val="1"/>
        <c:lblAlgn val="ctr"/>
        <c:lblOffset val="100"/>
        <c:noMultiLvlLbl val="0"/>
      </c:catAx>
      <c:valAx>
        <c:axId val="8260582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82605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 Cash Flow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lineChart>
        <c:grouping val="standard"/>
        <c:varyColors val="0"/>
        <c:ser>
          <c:idx val="0"/>
          <c:order val="0"/>
          <c:tx>
            <c:strRef>
              <c:f>Model!$B$2</c:f>
              <c:strCache>
                <c:ptCount val="1"/>
                <c:pt idx="0">
                  <c:v>Terrestrial Data Center</c:v>
                </c:pt>
              </c:strCache>
            </c:strRef>
          </c:tx>
          <c:spPr>
            <a:ln w="28575" cap="rnd">
              <a:solidFill>
                <a:schemeClr val="accent3"/>
              </a:solidFill>
              <a:round/>
            </a:ln>
            <a:effectLst/>
          </c:spPr>
          <c:marker>
            <c:symbol val="none"/>
          </c:marker>
          <c:val>
            <c:numRef>
              <c:f>'Tabular Data for Plots'!$I$7:$I$26</c:f>
              <c:numCache>
                <c:formatCode>_("$"* #,##0.0_);_("$"* \(#,##0.0\);_("$"* "-"??_);_(@_)</c:formatCode>
                <c:ptCount val="20"/>
                <c:pt idx="0">
                  <c:v>18040333104.411114</c:v>
                </c:pt>
                <c:pt idx="1">
                  <c:v>36366785451.112244</c:v>
                </c:pt>
                <c:pt idx="2">
                  <c:v>54778241697.667107</c:v>
                </c:pt>
                <c:pt idx="3">
                  <c:v>59553819031.161026</c:v>
                </c:pt>
                <c:pt idx="4">
                  <c:v>63895252970.700951</c:v>
                </c:pt>
                <c:pt idx="5">
                  <c:v>67842011097.555428</c:v>
                </c:pt>
                <c:pt idx="6">
                  <c:v>71429973031.059494</c:v>
                </c:pt>
                <c:pt idx="7">
                  <c:v>74691756606.97229</c:v>
                </c:pt>
                <c:pt idx="8">
                  <c:v>77657014403.256653</c:v>
                </c:pt>
                <c:pt idx="9">
                  <c:v>80352703308.969696</c:v>
                </c:pt>
                <c:pt idx="10">
                  <c:v>82803329586.890656</c:v>
                </c:pt>
                <c:pt idx="11">
                  <c:v>85031171657.72789</c:v>
                </c:pt>
                <c:pt idx="12">
                  <c:v>87056482631.216278</c:v>
                </c:pt>
                <c:pt idx="13">
                  <c:v>88897674425.296631</c:v>
                </c:pt>
                <c:pt idx="14">
                  <c:v>90571485147.187866</c:v>
                </c:pt>
                <c:pt idx="15">
                  <c:v>92093131257.998077</c:v>
                </c:pt>
                <c:pt idx="16">
                  <c:v>93476445904.189178</c:v>
                </c:pt>
                <c:pt idx="17">
                  <c:v>94734004673.453812</c:v>
                </c:pt>
                <c:pt idx="18">
                  <c:v>95877239918.239853</c:v>
                </c:pt>
                <c:pt idx="19">
                  <c:v>96916544686.227158</c:v>
                </c:pt>
              </c:numCache>
            </c:numRef>
          </c:val>
          <c:smooth val="0"/>
          <c:extLst>
            <c:ext xmlns:c16="http://schemas.microsoft.com/office/drawing/2014/chart" uri="{C3380CC4-5D6E-409C-BE32-E72D297353CC}">
              <c16:uniqueId val="{00000000-A791-4C56-8842-883618EBC7F3}"/>
            </c:ext>
          </c:extLst>
        </c:ser>
        <c:ser>
          <c:idx val="1"/>
          <c:order val="1"/>
          <c:tx>
            <c:strRef>
              <c:f>Model!$I$2</c:f>
              <c:strCache>
                <c:ptCount val="1"/>
                <c:pt idx="0">
                  <c:v>Orbital Data Center</c:v>
                </c:pt>
              </c:strCache>
            </c:strRef>
          </c:tx>
          <c:spPr>
            <a:ln w="28575" cap="rnd">
              <a:solidFill>
                <a:schemeClr val="accent2"/>
              </a:solidFill>
              <a:round/>
            </a:ln>
            <a:effectLst/>
          </c:spPr>
          <c:marker>
            <c:symbol val="none"/>
          </c:marker>
          <c:val>
            <c:numRef>
              <c:f>'Tabular Data for Plots'!$U$7:$U$26</c:f>
              <c:numCache>
                <c:formatCode>_("$"* #,##0.0_);_("$"* \(#,##0.0\);_("$"* "-"??_);_(@_)</c:formatCode>
                <c:ptCount val="20"/>
                <c:pt idx="0">
                  <c:v>22575621374.119183</c:v>
                </c:pt>
                <c:pt idx="1">
                  <c:v>45591535346.255142</c:v>
                </c:pt>
                <c:pt idx="2">
                  <c:v>68781113333.511276</c:v>
                </c:pt>
                <c:pt idx="3">
                  <c:v>91922565895.352219</c:v>
                </c:pt>
                <c:pt idx="4">
                  <c:v>114832993704.27283</c:v>
                </c:pt>
                <c:pt idx="5">
                  <c:v>137363149586.73927</c:v>
                </c:pt>
                <c:pt idx="6">
                  <c:v>159392831514.42981</c:v>
                </c:pt>
                <c:pt idx="7">
                  <c:v>180826835116.45691</c:v>
                </c:pt>
                <c:pt idx="8">
                  <c:v>201591402055.93546</c:v>
                </c:pt>
                <c:pt idx="9">
                  <c:v>221631107564.05588</c:v>
                </c:pt>
                <c:pt idx="10">
                  <c:v>240906136637.10248</c:v>
                </c:pt>
                <c:pt idx="11">
                  <c:v>259389903953.28601</c:v>
                </c:pt>
                <c:pt idx="12">
                  <c:v>269873688826.89233</c:v>
                </c:pt>
                <c:pt idx="13">
                  <c:v>279404402348.3526</c:v>
                </c:pt>
                <c:pt idx="14">
                  <c:v>288068687367.86194</c:v>
                </c:pt>
                <c:pt idx="15">
                  <c:v>295945310112.87042</c:v>
                </c:pt>
                <c:pt idx="16">
                  <c:v>303105876244.69635</c:v>
                </c:pt>
                <c:pt idx="17">
                  <c:v>309615481819.08356</c:v>
                </c:pt>
                <c:pt idx="18">
                  <c:v>315533305068.52643</c:v>
                </c:pt>
                <c:pt idx="19">
                  <c:v>320913144386.20178</c:v>
                </c:pt>
              </c:numCache>
            </c:numRef>
          </c:val>
          <c:smooth val="0"/>
          <c:extLst>
            <c:ext xmlns:c16="http://schemas.microsoft.com/office/drawing/2014/chart" uri="{C3380CC4-5D6E-409C-BE32-E72D297353CC}">
              <c16:uniqueId val="{00000001-A791-4C56-8842-883618EBC7F3}"/>
            </c:ext>
          </c:extLst>
        </c:ser>
        <c:dLbls>
          <c:showLegendKey val="0"/>
          <c:showVal val="0"/>
          <c:showCatName val="0"/>
          <c:showSerName val="0"/>
          <c:showPercent val="0"/>
          <c:showBubbleSize val="0"/>
        </c:dLbls>
        <c:smooth val="0"/>
        <c:axId val="1273181520"/>
        <c:axId val="1273183920"/>
      </c:lineChart>
      <c:catAx>
        <c:axId val="1273181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Time Horizon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83920"/>
        <c:crosses val="autoZero"/>
        <c:auto val="1"/>
        <c:lblAlgn val="ctr"/>
        <c:lblOffset val="100"/>
        <c:noMultiLvlLbl val="0"/>
      </c:catAx>
      <c:valAx>
        <c:axId val="1273183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a:t>Cumulative Cash Flow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numFmt formatCode="_(&quot;$&quot;* #,##0_);_(&quot;$&quot;* \(#,##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crossAx val="1273181520"/>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image" Target="../media/image1.png"/><Relationship Id="rId47" Type="http://schemas.openxmlformats.org/officeDocument/2006/relationships/chart" Target="../charts/chart46.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3.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2.xml"/><Relationship Id="rId48" Type="http://schemas.openxmlformats.org/officeDocument/2006/relationships/chart" Target="../charts/chart47.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5.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14575</xdr:colOff>
      <xdr:row>0</xdr:row>
      <xdr:rowOff>35104</xdr:rowOff>
    </xdr:from>
    <xdr:to>
      <xdr:col>2</xdr:col>
      <xdr:colOff>501995</xdr:colOff>
      <xdr:row>0</xdr:row>
      <xdr:rowOff>713760</xdr:rowOff>
    </xdr:to>
    <xdr:pic>
      <xdr:nvPicPr>
        <xdr:cNvPr id="2" name="Picture 1">
          <a:extLst>
            <a:ext uri="{FF2B5EF4-FFF2-40B4-BE49-F238E27FC236}">
              <a16:creationId xmlns:a16="http://schemas.microsoft.com/office/drawing/2014/main" id="{6FC65E22-7C20-4BAF-94B6-ECEF4C57D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05075" y="225604"/>
          <a:ext cx="1650127" cy="678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595973</xdr:colOff>
      <xdr:row>104</xdr:row>
      <xdr:rowOff>105910</xdr:rowOff>
    </xdr:from>
    <xdr:to>
      <xdr:col>3</xdr:col>
      <xdr:colOff>841006</xdr:colOff>
      <xdr:row>122</xdr:row>
      <xdr:rowOff>78478</xdr:rowOff>
    </xdr:to>
    <xdr:graphicFrame macro="">
      <xdr:nvGraphicFramePr>
        <xdr:cNvPr id="2" name="Chart 1">
          <a:extLst>
            <a:ext uri="{FF2B5EF4-FFF2-40B4-BE49-F238E27FC236}">
              <a16:creationId xmlns:a16="http://schemas.microsoft.com/office/drawing/2014/main" id="{739E02ED-CCA4-4F9D-B293-F973DB3E1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513242</xdr:colOff>
      <xdr:row>186</xdr:row>
      <xdr:rowOff>79107</xdr:rowOff>
    </xdr:from>
    <xdr:to>
      <xdr:col>3</xdr:col>
      <xdr:colOff>758275</xdr:colOff>
      <xdr:row>204</xdr:row>
      <xdr:rowOff>51675</xdr:rowOff>
    </xdr:to>
    <xdr:graphicFrame macro="">
      <xdr:nvGraphicFramePr>
        <xdr:cNvPr id="3" name="Chart 2">
          <a:extLst>
            <a:ext uri="{FF2B5EF4-FFF2-40B4-BE49-F238E27FC236}">
              <a16:creationId xmlns:a16="http://schemas.microsoft.com/office/drawing/2014/main" id="{F99221E0-6713-4C3E-B431-5458E4B80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359338</xdr:colOff>
      <xdr:row>104</xdr:row>
      <xdr:rowOff>72706</xdr:rowOff>
    </xdr:from>
    <xdr:to>
      <xdr:col>13</xdr:col>
      <xdr:colOff>2269175</xdr:colOff>
      <xdr:row>122</xdr:row>
      <xdr:rowOff>45274</xdr:rowOff>
    </xdr:to>
    <xdr:graphicFrame macro="">
      <xdr:nvGraphicFramePr>
        <xdr:cNvPr id="4" name="Chart 3">
          <a:extLst>
            <a:ext uri="{FF2B5EF4-FFF2-40B4-BE49-F238E27FC236}">
              <a16:creationId xmlns:a16="http://schemas.microsoft.com/office/drawing/2014/main" id="{C1DA050E-B092-4215-AF86-D9F1D8490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652928</xdr:colOff>
      <xdr:row>104</xdr:row>
      <xdr:rowOff>105549</xdr:rowOff>
    </xdr:from>
    <xdr:to>
      <xdr:col>10</xdr:col>
      <xdr:colOff>641200</xdr:colOff>
      <xdr:row>122</xdr:row>
      <xdr:rowOff>78117</xdr:rowOff>
    </xdr:to>
    <xdr:graphicFrame macro="">
      <xdr:nvGraphicFramePr>
        <xdr:cNvPr id="5" name="Chart 4">
          <a:extLst>
            <a:ext uri="{FF2B5EF4-FFF2-40B4-BE49-F238E27FC236}">
              <a16:creationId xmlns:a16="http://schemas.microsoft.com/office/drawing/2014/main" id="{495948CC-E78D-40DA-B883-A9F8CA5F7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666466</xdr:colOff>
      <xdr:row>186</xdr:row>
      <xdr:rowOff>120464</xdr:rowOff>
    </xdr:from>
    <xdr:to>
      <xdr:col>10</xdr:col>
      <xdr:colOff>654738</xdr:colOff>
      <xdr:row>204</xdr:row>
      <xdr:rowOff>93032</xdr:rowOff>
    </xdr:to>
    <xdr:graphicFrame macro="">
      <xdr:nvGraphicFramePr>
        <xdr:cNvPr id="6" name="Chart 5">
          <a:extLst>
            <a:ext uri="{FF2B5EF4-FFF2-40B4-BE49-F238E27FC236}">
              <a16:creationId xmlns:a16="http://schemas.microsoft.com/office/drawing/2014/main" id="{02E811E3-CE33-44E4-8530-E2DF6A5EA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434517</xdr:colOff>
      <xdr:row>186</xdr:row>
      <xdr:rowOff>113629</xdr:rowOff>
    </xdr:from>
    <xdr:to>
      <xdr:col>13</xdr:col>
      <xdr:colOff>2344354</xdr:colOff>
      <xdr:row>204</xdr:row>
      <xdr:rowOff>86197</xdr:rowOff>
    </xdr:to>
    <xdr:graphicFrame macro="">
      <xdr:nvGraphicFramePr>
        <xdr:cNvPr id="7" name="Chart 6">
          <a:extLst>
            <a:ext uri="{FF2B5EF4-FFF2-40B4-BE49-F238E27FC236}">
              <a16:creationId xmlns:a16="http://schemas.microsoft.com/office/drawing/2014/main" id="{057A2C40-CE97-488C-8C34-EA7182D0A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292559</xdr:colOff>
      <xdr:row>104</xdr:row>
      <xdr:rowOff>107230</xdr:rowOff>
    </xdr:from>
    <xdr:to>
      <xdr:col>6</xdr:col>
      <xdr:colOff>2291436</xdr:colOff>
      <xdr:row>122</xdr:row>
      <xdr:rowOff>79746</xdr:rowOff>
    </xdr:to>
    <xdr:graphicFrame macro="">
      <xdr:nvGraphicFramePr>
        <xdr:cNvPr id="8" name="Chart 7">
          <a:extLst>
            <a:ext uri="{FF2B5EF4-FFF2-40B4-BE49-F238E27FC236}">
              <a16:creationId xmlns:a16="http://schemas.microsoft.com/office/drawing/2014/main" id="{10A1A808-AFC6-4E7B-A2B2-B6126BC88C1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344016</xdr:colOff>
      <xdr:row>186</xdr:row>
      <xdr:rowOff>82442</xdr:rowOff>
    </xdr:from>
    <xdr:to>
      <xdr:col>6</xdr:col>
      <xdr:colOff>2344962</xdr:colOff>
      <xdr:row>204</xdr:row>
      <xdr:rowOff>55010</xdr:rowOff>
    </xdr:to>
    <xdr:graphicFrame macro="">
      <xdr:nvGraphicFramePr>
        <xdr:cNvPr id="9" name="Chart 8">
          <a:extLst>
            <a:ext uri="{FF2B5EF4-FFF2-40B4-BE49-F238E27FC236}">
              <a16:creationId xmlns:a16="http://schemas.microsoft.com/office/drawing/2014/main" id="{4095BE2E-B924-4EC1-8C41-C7F85827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391257</xdr:colOff>
      <xdr:row>268</xdr:row>
      <xdr:rowOff>120288</xdr:rowOff>
    </xdr:from>
    <xdr:to>
      <xdr:col>6</xdr:col>
      <xdr:colOff>2391566</xdr:colOff>
      <xdr:row>286</xdr:row>
      <xdr:rowOff>92856</xdr:rowOff>
    </xdr:to>
    <xdr:graphicFrame macro="">
      <xdr:nvGraphicFramePr>
        <xdr:cNvPr id="11" name="Chart 10">
          <a:extLst>
            <a:ext uri="{FF2B5EF4-FFF2-40B4-BE49-F238E27FC236}">
              <a16:creationId xmlns:a16="http://schemas.microsoft.com/office/drawing/2014/main" id="{3E639E5A-88BD-4137-9CFF-D995D8C39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628648</xdr:colOff>
      <xdr:row>268</xdr:row>
      <xdr:rowOff>66674</xdr:rowOff>
    </xdr:from>
    <xdr:to>
      <xdr:col>10</xdr:col>
      <xdr:colOff>621379</xdr:colOff>
      <xdr:row>286</xdr:row>
      <xdr:rowOff>39242</xdr:rowOff>
    </xdr:to>
    <xdr:graphicFrame macro="">
      <xdr:nvGraphicFramePr>
        <xdr:cNvPr id="12" name="Chart 11">
          <a:extLst>
            <a:ext uri="{FF2B5EF4-FFF2-40B4-BE49-F238E27FC236}">
              <a16:creationId xmlns:a16="http://schemas.microsoft.com/office/drawing/2014/main" id="{80D331AB-AE0A-4CC6-B2D1-261A30010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410308</xdr:colOff>
      <xdr:row>268</xdr:row>
      <xdr:rowOff>68811</xdr:rowOff>
    </xdr:from>
    <xdr:to>
      <xdr:col>13</xdr:col>
      <xdr:colOff>2322694</xdr:colOff>
      <xdr:row>286</xdr:row>
      <xdr:rowOff>41379</xdr:rowOff>
    </xdr:to>
    <xdr:graphicFrame macro="">
      <xdr:nvGraphicFramePr>
        <xdr:cNvPr id="13" name="Chart 12">
          <a:extLst>
            <a:ext uri="{FF2B5EF4-FFF2-40B4-BE49-F238E27FC236}">
              <a16:creationId xmlns:a16="http://schemas.microsoft.com/office/drawing/2014/main" id="{D702DF7B-A036-4AE4-A7CA-394B1987D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567679</xdr:colOff>
      <xdr:row>124</xdr:row>
      <xdr:rowOff>91746</xdr:rowOff>
    </xdr:from>
    <xdr:to>
      <xdr:col>3</xdr:col>
      <xdr:colOff>812712</xdr:colOff>
      <xdr:row>142</xdr:row>
      <xdr:rowOff>64314</xdr:rowOff>
    </xdr:to>
    <xdr:graphicFrame macro="">
      <xdr:nvGraphicFramePr>
        <xdr:cNvPr id="14" name="Chart 13">
          <a:extLst>
            <a:ext uri="{FF2B5EF4-FFF2-40B4-BE49-F238E27FC236}">
              <a16:creationId xmlns:a16="http://schemas.microsoft.com/office/drawing/2014/main" id="{3CCC1617-D4CA-445F-BFE6-911627711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298956</xdr:colOff>
      <xdr:row>124</xdr:row>
      <xdr:rowOff>94276</xdr:rowOff>
    </xdr:from>
    <xdr:to>
      <xdr:col>6</xdr:col>
      <xdr:colOff>2298009</xdr:colOff>
      <xdr:row>142</xdr:row>
      <xdr:rowOff>66844</xdr:rowOff>
    </xdr:to>
    <xdr:graphicFrame macro="">
      <xdr:nvGraphicFramePr>
        <xdr:cNvPr id="15" name="Chart 14">
          <a:extLst>
            <a:ext uri="{FF2B5EF4-FFF2-40B4-BE49-F238E27FC236}">
              <a16:creationId xmlns:a16="http://schemas.microsoft.com/office/drawing/2014/main" id="{FBE86BEE-EADB-4B5D-BBEC-F7736B09B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677900</xdr:colOff>
      <xdr:row>124</xdr:row>
      <xdr:rowOff>99073</xdr:rowOff>
    </xdr:from>
    <xdr:to>
      <xdr:col>10</xdr:col>
      <xdr:colOff>666172</xdr:colOff>
      <xdr:row>142</xdr:row>
      <xdr:rowOff>71641</xdr:rowOff>
    </xdr:to>
    <xdr:graphicFrame macro="">
      <xdr:nvGraphicFramePr>
        <xdr:cNvPr id="16" name="Chart 15">
          <a:extLst>
            <a:ext uri="{FF2B5EF4-FFF2-40B4-BE49-F238E27FC236}">
              <a16:creationId xmlns:a16="http://schemas.microsoft.com/office/drawing/2014/main" id="{3557BED4-4D6B-4E50-AD28-ECEBBF31B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415406</xdr:colOff>
      <xdr:row>124</xdr:row>
      <xdr:rowOff>98118</xdr:rowOff>
    </xdr:from>
    <xdr:to>
      <xdr:col>13</xdr:col>
      <xdr:colOff>2325243</xdr:colOff>
      <xdr:row>142</xdr:row>
      <xdr:rowOff>70686</xdr:rowOff>
    </xdr:to>
    <xdr:graphicFrame macro="">
      <xdr:nvGraphicFramePr>
        <xdr:cNvPr id="17" name="Chart 16">
          <a:extLst>
            <a:ext uri="{FF2B5EF4-FFF2-40B4-BE49-F238E27FC236}">
              <a16:creationId xmlns:a16="http://schemas.microsoft.com/office/drawing/2014/main" id="{F8066458-79CA-4B4E-AA16-09F1F8E21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549202</xdr:colOff>
      <xdr:row>144</xdr:row>
      <xdr:rowOff>91744</xdr:rowOff>
    </xdr:from>
    <xdr:to>
      <xdr:col>3</xdr:col>
      <xdr:colOff>794235</xdr:colOff>
      <xdr:row>162</xdr:row>
      <xdr:rowOff>64312</xdr:rowOff>
    </xdr:to>
    <xdr:graphicFrame macro="">
      <xdr:nvGraphicFramePr>
        <xdr:cNvPr id="18" name="Chart 17">
          <a:extLst>
            <a:ext uri="{FF2B5EF4-FFF2-40B4-BE49-F238E27FC236}">
              <a16:creationId xmlns:a16="http://schemas.microsoft.com/office/drawing/2014/main" id="{9C0C51C9-A38A-4470-B1F4-CE6E04533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322731</xdr:colOff>
      <xdr:row>144</xdr:row>
      <xdr:rowOff>91920</xdr:rowOff>
    </xdr:from>
    <xdr:to>
      <xdr:col>6</xdr:col>
      <xdr:colOff>2323040</xdr:colOff>
      <xdr:row>162</xdr:row>
      <xdr:rowOff>64488</xdr:rowOff>
    </xdr:to>
    <xdr:graphicFrame macro="">
      <xdr:nvGraphicFramePr>
        <xdr:cNvPr id="19" name="Chart 18">
          <a:extLst>
            <a:ext uri="{FF2B5EF4-FFF2-40B4-BE49-F238E27FC236}">
              <a16:creationId xmlns:a16="http://schemas.microsoft.com/office/drawing/2014/main" id="{49A106CD-A9EE-4DD9-B7EB-F52374A257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659423</xdr:colOff>
      <xdr:row>144</xdr:row>
      <xdr:rowOff>82509</xdr:rowOff>
    </xdr:from>
    <xdr:to>
      <xdr:col>10</xdr:col>
      <xdr:colOff>647695</xdr:colOff>
      <xdr:row>162</xdr:row>
      <xdr:rowOff>55077</xdr:rowOff>
    </xdr:to>
    <xdr:graphicFrame macro="">
      <xdr:nvGraphicFramePr>
        <xdr:cNvPr id="20" name="Chart 19">
          <a:extLst>
            <a:ext uri="{FF2B5EF4-FFF2-40B4-BE49-F238E27FC236}">
              <a16:creationId xmlns:a16="http://schemas.microsoft.com/office/drawing/2014/main" id="{08F46C2C-2253-4A14-A039-41411D495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421776</xdr:colOff>
      <xdr:row>144</xdr:row>
      <xdr:rowOff>89834</xdr:rowOff>
    </xdr:from>
    <xdr:to>
      <xdr:col>13</xdr:col>
      <xdr:colOff>2331613</xdr:colOff>
      <xdr:row>162</xdr:row>
      <xdr:rowOff>62402</xdr:rowOff>
    </xdr:to>
    <xdr:graphicFrame macro="">
      <xdr:nvGraphicFramePr>
        <xdr:cNvPr id="21" name="Chart 20">
          <a:extLst>
            <a:ext uri="{FF2B5EF4-FFF2-40B4-BE49-F238E27FC236}">
              <a16:creationId xmlns:a16="http://schemas.microsoft.com/office/drawing/2014/main" id="{F8067E2A-A7B0-401D-9F20-DDEBD1332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555571</xdr:colOff>
      <xdr:row>164</xdr:row>
      <xdr:rowOff>53847</xdr:rowOff>
    </xdr:from>
    <xdr:to>
      <xdr:col>3</xdr:col>
      <xdr:colOff>800604</xdr:colOff>
      <xdr:row>182</xdr:row>
      <xdr:rowOff>26415</xdr:rowOff>
    </xdr:to>
    <xdr:graphicFrame macro="">
      <xdr:nvGraphicFramePr>
        <xdr:cNvPr id="22" name="Chart 21">
          <a:extLst>
            <a:ext uri="{FF2B5EF4-FFF2-40B4-BE49-F238E27FC236}">
              <a16:creationId xmlns:a16="http://schemas.microsoft.com/office/drawing/2014/main" id="{031CED45-5C5E-457C-B4B6-4E69F0154F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666969</xdr:colOff>
      <xdr:row>164</xdr:row>
      <xdr:rowOff>66993</xdr:rowOff>
    </xdr:from>
    <xdr:to>
      <xdr:col>10</xdr:col>
      <xdr:colOff>655241</xdr:colOff>
      <xdr:row>182</xdr:row>
      <xdr:rowOff>39561</xdr:rowOff>
    </xdr:to>
    <xdr:graphicFrame macro="">
      <xdr:nvGraphicFramePr>
        <xdr:cNvPr id="23" name="Chart 22">
          <a:extLst>
            <a:ext uri="{FF2B5EF4-FFF2-40B4-BE49-F238E27FC236}">
              <a16:creationId xmlns:a16="http://schemas.microsoft.com/office/drawing/2014/main" id="{E519FCBE-EBEB-44CC-8110-A1FF5B67D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327714</xdr:colOff>
      <xdr:row>164</xdr:row>
      <xdr:rowOff>65186</xdr:rowOff>
    </xdr:from>
    <xdr:to>
      <xdr:col>6</xdr:col>
      <xdr:colOff>2328660</xdr:colOff>
      <xdr:row>182</xdr:row>
      <xdr:rowOff>37754</xdr:rowOff>
    </xdr:to>
    <xdr:graphicFrame macro="">
      <xdr:nvGraphicFramePr>
        <xdr:cNvPr id="24" name="Chart 23">
          <a:extLst>
            <a:ext uri="{FF2B5EF4-FFF2-40B4-BE49-F238E27FC236}">
              <a16:creationId xmlns:a16="http://schemas.microsoft.com/office/drawing/2014/main" id="{EF4FF24E-CF6D-47A9-9D21-D10C243C8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505561</xdr:colOff>
      <xdr:row>246</xdr:row>
      <xdr:rowOff>73272</xdr:rowOff>
    </xdr:from>
    <xdr:to>
      <xdr:col>3</xdr:col>
      <xdr:colOff>754735</xdr:colOff>
      <xdr:row>264</xdr:row>
      <xdr:rowOff>45840</xdr:rowOff>
    </xdr:to>
    <xdr:graphicFrame macro="">
      <xdr:nvGraphicFramePr>
        <xdr:cNvPr id="25" name="Chart 24">
          <a:extLst>
            <a:ext uri="{FF2B5EF4-FFF2-40B4-BE49-F238E27FC236}">
              <a16:creationId xmlns:a16="http://schemas.microsoft.com/office/drawing/2014/main" id="{6849E2D7-665B-4720-AC73-97A9D3A86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653306</xdr:colOff>
      <xdr:row>246</xdr:row>
      <xdr:rowOff>84196</xdr:rowOff>
    </xdr:from>
    <xdr:to>
      <xdr:col>10</xdr:col>
      <xdr:colOff>646037</xdr:colOff>
      <xdr:row>264</xdr:row>
      <xdr:rowOff>56764</xdr:rowOff>
    </xdr:to>
    <xdr:graphicFrame macro="">
      <xdr:nvGraphicFramePr>
        <xdr:cNvPr id="26" name="Chart 25">
          <a:extLst>
            <a:ext uri="{FF2B5EF4-FFF2-40B4-BE49-F238E27FC236}">
              <a16:creationId xmlns:a16="http://schemas.microsoft.com/office/drawing/2014/main" id="{EC9C913D-F3A2-4BC4-B57F-A7E9539CD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388326</xdr:colOff>
      <xdr:row>246</xdr:row>
      <xdr:rowOff>78480</xdr:rowOff>
    </xdr:from>
    <xdr:to>
      <xdr:col>6</xdr:col>
      <xdr:colOff>2388635</xdr:colOff>
      <xdr:row>264</xdr:row>
      <xdr:rowOff>51048</xdr:rowOff>
    </xdr:to>
    <xdr:graphicFrame macro="">
      <xdr:nvGraphicFramePr>
        <xdr:cNvPr id="27" name="Chart 26">
          <a:extLst>
            <a:ext uri="{FF2B5EF4-FFF2-40B4-BE49-F238E27FC236}">
              <a16:creationId xmlns:a16="http://schemas.microsoft.com/office/drawing/2014/main" id="{FACC7A42-B22C-4D4E-925C-C44AEC602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505557</xdr:colOff>
      <xdr:row>206</xdr:row>
      <xdr:rowOff>85544</xdr:rowOff>
    </xdr:from>
    <xdr:to>
      <xdr:col>3</xdr:col>
      <xdr:colOff>754731</xdr:colOff>
      <xdr:row>224</xdr:row>
      <xdr:rowOff>58112</xdr:rowOff>
    </xdr:to>
    <xdr:graphicFrame macro="">
      <xdr:nvGraphicFramePr>
        <xdr:cNvPr id="31" name="Chart 30">
          <a:extLst>
            <a:ext uri="{FF2B5EF4-FFF2-40B4-BE49-F238E27FC236}">
              <a16:creationId xmlns:a16="http://schemas.microsoft.com/office/drawing/2014/main" id="{43EF28BB-C56A-4D20-BA62-DB1A5CA87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634571</xdr:colOff>
      <xdr:row>206</xdr:row>
      <xdr:rowOff>114796</xdr:rowOff>
    </xdr:from>
    <xdr:to>
      <xdr:col>10</xdr:col>
      <xdr:colOff>627302</xdr:colOff>
      <xdr:row>224</xdr:row>
      <xdr:rowOff>87364</xdr:rowOff>
    </xdr:to>
    <xdr:graphicFrame macro="">
      <xdr:nvGraphicFramePr>
        <xdr:cNvPr id="32" name="Chart 31">
          <a:extLst>
            <a:ext uri="{FF2B5EF4-FFF2-40B4-BE49-F238E27FC236}">
              <a16:creationId xmlns:a16="http://schemas.microsoft.com/office/drawing/2014/main" id="{FAFC8F04-B2D8-4FCC-9FB4-D364E4F61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447221</xdr:colOff>
      <xdr:row>206</xdr:row>
      <xdr:rowOff>79609</xdr:rowOff>
    </xdr:from>
    <xdr:to>
      <xdr:col>13</xdr:col>
      <xdr:colOff>2359607</xdr:colOff>
      <xdr:row>224</xdr:row>
      <xdr:rowOff>52177</xdr:rowOff>
    </xdr:to>
    <xdr:graphicFrame macro="">
      <xdr:nvGraphicFramePr>
        <xdr:cNvPr id="33" name="Chart 32">
          <a:extLst>
            <a:ext uri="{FF2B5EF4-FFF2-40B4-BE49-F238E27FC236}">
              <a16:creationId xmlns:a16="http://schemas.microsoft.com/office/drawing/2014/main" id="{09CF8240-AEB7-4AFC-8A35-C133EAE7E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344933</xdr:colOff>
      <xdr:row>206</xdr:row>
      <xdr:rowOff>109904</xdr:rowOff>
    </xdr:from>
    <xdr:to>
      <xdr:col>6</xdr:col>
      <xdr:colOff>2345242</xdr:colOff>
      <xdr:row>224</xdr:row>
      <xdr:rowOff>82472</xdr:rowOff>
    </xdr:to>
    <xdr:graphicFrame macro="">
      <xdr:nvGraphicFramePr>
        <xdr:cNvPr id="34" name="Chart 33">
          <a:extLst>
            <a:ext uri="{FF2B5EF4-FFF2-40B4-BE49-F238E27FC236}">
              <a16:creationId xmlns:a16="http://schemas.microsoft.com/office/drawing/2014/main" id="{2F0B3537-21AD-4D98-A000-909097DA7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498231</xdr:colOff>
      <xdr:row>226</xdr:row>
      <xdr:rowOff>100195</xdr:rowOff>
    </xdr:from>
    <xdr:to>
      <xdr:col>3</xdr:col>
      <xdr:colOff>747405</xdr:colOff>
      <xdr:row>244</xdr:row>
      <xdr:rowOff>72763</xdr:rowOff>
    </xdr:to>
    <xdr:graphicFrame macro="">
      <xdr:nvGraphicFramePr>
        <xdr:cNvPr id="35" name="Chart 34">
          <a:extLst>
            <a:ext uri="{FF2B5EF4-FFF2-40B4-BE49-F238E27FC236}">
              <a16:creationId xmlns:a16="http://schemas.microsoft.com/office/drawing/2014/main" id="{EA0784AC-5FC4-49CF-A9F2-AD4610B05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634571</xdr:colOff>
      <xdr:row>226</xdr:row>
      <xdr:rowOff>100141</xdr:rowOff>
    </xdr:from>
    <xdr:to>
      <xdr:col>10</xdr:col>
      <xdr:colOff>627302</xdr:colOff>
      <xdr:row>244</xdr:row>
      <xdr:rowOff>72709</xdr:rowOff>
    </xdr:to>
    <xdr:graphicFrame macro="">
      <xdr:nvGraphicFramePr>
        <xdr:cNvPr id="36" name="Chart 35">
          <a:extLst>
            <a:ext uri="{FF2B5EF4-FFF2-40B4-BE49-F238E27FC236}">
              <a16:creationId xmlns:a16="http://schemas.microsoft.com/office/drawing/2014/main" id="{CDD0C1F4-B4C7-4154-A8B5-85A21B98B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11</xdr:col>
      <xdr:colOff>439894</xdr:colOff>
      <xdr:row>226</xdr:row>
      <xdr:rowOff>94262</xdr:rowOff>
    </xdr:from>
    <xdr:to>
      <xdr:col>13</xdr:col>
      <xdr:colOff>2352280</xdr:colOff>
      <xdr:row>244</xdr:row>
      <xdr:rowOff>66830</xdr:rowOff>
    </xdr:to>
    <xdr:graphicFrame macro="">
      <xdr:nvGraphicFramePr>
        <xdr:cNvPr id="37" name="Chart 36">
          <a:extLst>
            <a:ext uri="{FF2B5EF4-FFF2-40B4-BE49-F238E27FC236}">
              <a16:creationId xmlns:a16="http://schemas.microsoft.com/office/drawing/2014/main" id="{A826A4E5-FEE6-4BF1-8B6E-66E2C6725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374241</xdr:colOff>
      <xdr:row>226</xdr:row>
      <xdr:rowOff>117231</xdr:rowOff>
    </xdr:from>
    <xdr:to>
      <xdr:col>6</xdr:col>
      <xdr:colOff>2374550</xdr:colOff>
      <xdr:row>244</xdr:row>
      <xdr:rowOff>89799</xdr:rowOff>
    </xdr:to>
    <xdr:graphicFrame macro="">
      <xdr:nvGraphicFramePr>
        <xdr:cNvPr id="38" name="Chart 37">
          <a:extLst>
            <a:ext uri="{FF2B5EF4-FFF2-40B4-BE49-F238E27FC236}">
              <a16:creationId xmlns:a16="http://schemas.microsoft.com/office/drawing/2014/main" id="{700ECA8B-0060-473C-9374-9DDBFE8BE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388327</xdr:colOff>
      <xdr:row>288</xdr:row>
      <xdr:rowOff>124557</xdr:rowOff>
    </xdr:from>
    <xdr:to>
      <xdr:col>6</xdr:col>
      <xdr:colOff>2388636</xdr:colOff>
      <xdr:row>306</xdr:row>
      <xdr:rowOff>97125</xdr:rowOff>
    </xdr:to>
    <xdr:graphicFrame macro="">
      <xdr:nvGraphicFramePr>
        <xdr:cNvPr id="39" name="Chart 38">
          <a:extLst>
            <a:ext uri="{FF2B5EF4-FFF2-40B4-BE49-F238E27FC236}">
              <a16:creationId xmlns:a16="http://schemas.microsoft.com/office/drawing/2014/main" id="{C96BA4AD-3B4A-44F3-872E-8DE3BE251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652096</xdr:colOff>
      <xdr:row>288</xdr:row>
      <xdr:rowOff>102575</xdr:rowOff>
    </xdr:from>
    <xdr:to>
      <xdr:col>10</xdr:col>
      <xdr:colOff>644827</xdr:colOff>
      <xdr:row>306</xdr:row>
      <xdr:rowOff>75143</xdr:rowOff>
    </xdr:to>
    <xdr:graphicFrame macro="">
      <xdr:nvGraphicFramePr>
        <xdr:cNvPr id="40" name="Chart 39">
          <a:extLst>
            <a:ext uri="{FF2B5EF4-FFF2-40B4-BE49-F238E27FC236}">
              <a16:creationId xmlns:a16="http://schemas.microsoft.com/office/drawing/2014/main" id="{AA68776A-9E85-4924-B489-5240D3EA4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11</xdr:col>
      <xdr:colOff>439614</xdr:colOff>
      <xdr:row>288</xdr:row>
      <xdr:rowOff>96523</xdr:rowOff>
    </xdr:from>
    <xdr:to>
      <xdr:col>13</xdr:col>
      <xdr:colOff>2352000</xdr:colOff>
      <xdr:row>306</xdr:row>
      <xdr:rowOff>69091</xdr:rowOff>
    </xdr:to>
    <xdr:graphicFrame macro="">
      <xdr:nvGraphicFramePr>
        <xdr:cNvPr id="41" name="Chart 40">
          <a:extLst>
            <a:ext uri="{FF2B5EF4-FFF2-40B4-BE49-F238E27FC236}">
              <a16:creationId xmlns:a16="http://schemas.microsoft.com/office/drawing/2014/main" id="{A1D8F6B5-1923-4E81-B80D-4D14FEF07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410306</xdr:colOff>
      <xdr:row>308</xdr:row>
      <xdr:rowOff>109902</xdr:rowOff>
    </xdr:from>
    <xdr:to>
      <xdr:col>6</xdr:col>
      <xdr:colOff>2410615</xdr:colOff>
      <xdr:row>326</xdr:row>
      <xdr:rowOff>82470</xdr:rowOff>
    </xdr:to>
    <xdr:graphicFrame macro="">
      <xdr:nvGraphicFramePr>
        <xdr:cNvPr id="42" name="Chart 41">
          <a:extLst>
            <a:ext uri="{FF2B5EF4-FFF2-40B4-BE49-F238E27FC236}">
              <a16:creationId xmlns:a16="http://schemas.microsoft.com/office/drawing/2014/main" id="{D8F1EB40-79EC-4274-9B02-DE179A7FB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666751</xdr:colOff>
      <xdr:row>308</xdr:row>
      <xdr:rowOff>117233</xdr:rowOff>
    </xdr:from>
    <xdr:to>
      <xdr:col>10</xdr:col>
      <xdr:colOff>659482</xdr:colOff>
      <xdr:row>326</xdr:row>
      <xdr:rowOff>89801</xdr:rowOff>
    </xdr:to>
    <xdr:graphicFrame macro="">
      <xdr:nvGraphicFramePr>
        <xdr:cNvPr id="43" name="Chart 42">
          <a:extLst>
            <a:ext uri="{FF2B5EF4-FFF2-40B4-BE49-F238E27FC236}">
              <a16:creationId xmlns:a16="http://schemas.microsoft.com/office/drawing/2014/main" id="{0804C9F6-B8DA-43D9-941A-D0561D47C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11</xdr:col>
      <xdr:colOff>454270</xdr:colOff>
      <xdr:row>308</xdr:row>
      <xdr:rowOff>89198</xdr:rowOff>
    </xdr:from>
    <xdr:to>
      <xdr:col>13</xdr:col>
      <xdr:colOff>2366656</xdr:colOff>
      <xdr:row>326</xdr:row>
      <xdr:rowOff>61766</xdr:rowOff>
    </xdr:to>
    <xdr:graphicFrame macro="">
      <xdr:nvGraphicFramePr>
        <xdr:cNvPr id="44" name="Chart 43">
          <a:extLst>
            <a:ext uri="{FF2B5EF4-FFF2-40B4-BE49-F238E27FC236}">
              <a16:creationId xmlns:a16="http://schemas.microsoft.com/office/drawing/2014/main" id="{BFC29A84-8628-4F98-BCC3-4828B82D3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15</xdr:col>
      <xdr:colOff>0</xdr:colOff>
      <xdr:row>123</xdr:row>
      <xdr:rowOff>0</xdr:rowOff>
    </xdr:from>
    <xdr:to>
      <xdr:col>15</xdr:col>
      <xdr:colOff>0</xdr:colOff>
      <xdr:row>133</xdr:row>
      <xdr:rowOff>149469</xdr:rowOff>
    </xdr:to>
    <xdr:graphicFrame macro="">
      <xdr:nvGraphicFramePr>
        <xdr:cNvPr id="50" name="Chart 49">
          <a:extLst>
            <a:ext uri="{FF2B5EF4-FFF2-40B4-BE49-F238E27FC236}">
              <a16:creationId xmlns:a16="http://schemas.microsoft.com/office/drawing/2014/main" id="{D2F72AF8-9182-4358-9141-02C50A982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15</xdr:col>
      <xdr:colOff>0</xdr:colOff>
      <xdr:row>135</xdr:row>
      <xdr:rowOff>73269</xdr:rowOff>
    </xdr:from>
    <xdr:to>
      <xdr:col>15</xdr:col>
      <xdr:colOff>0</xdr:colOff>
      <xdr:row>154</xdr:row>
      <xdr:rowOff>149469</xdr:rowOff>
    </xdr:to>
    <xdr:graphicFrame macro="">
      <xdr:nvGraphicFramePr>
        <xdr:cNvPr id="52" name="Chart 51">
          <a:extLst>
            <a:ext uri="{FF2B5EF4-FFF2-40B4-BE49-F238E27FC236}">
              <a16:creationId xmlns:a16="http://schemas.microsoft.com/office/drawing/2014/main" id="{DC4DB046-26BC-4D14-A69D-74FF627B7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editAs="oneCell">
    <xdr:from>
      <xdr:col>1</xdr:col>
      <xdr:colOff>49694</xdr:colOff>
      <xdr:row>0</xdr:row>
      <xdr:rowOff>24848</xdr:rowOff>
    </xdr:from>
    <xdr:to>
      <xdr:col>1</xdr:col>
      <xdr:colOff>1699821</xdr:colOff>
      <xdr:row>0</xdr:row>
      <xdr:rowOff>703504</xdr:rowOff>
    </xdr:to>
    <xdr:pic>
      <xdr:nvPicPr>
        <xdr:cNvPr id="53" name="Picture 52">
          <a:extLst>
            <a:ext uri="{FF2B5EF4-FFF2-40B4-BE49-F238E27FC236}">
              <a16:creationId xmlns:a16="http://schemas.microsoft.com/office/drawing/2014/main" id="{9F5A745F-923D-4CE0-BCBD-00B122318D4F}"/>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240194" y="215348"/>
          <a:ext cx="1650127" cy="678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426792</xdr:colOff>
      <xdr:row>350</xdr:row>
      <xdr:rowOff>98181</xdr:rowOff>
    </xdr:from>
    <xdr:to>
      <xdr:col>5</xdr:col>
      <xdr:colOff>598242</xdr:colOff>
      <xdr:row>369</xdr:row>
      <xdr:rowOff>136281</xdr:rowOff>
    </xdr:to>
    <xdr:graphicFrame macro="">
      <xdr:nvGraphicFramePr>
        <xdr:cNvPr id="54" name="Chart 53">
          <a:extLst>
            <a:ext uri="{FF2B5EF4-FFF2-40B4-BE49-F238E27FC236}">
              <a16:creationId xmlns:a16="http://schemas.microsoft.com/office/drawing/2014/main" id="{4A36F802-A12B-1310-8C1F-9005012800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1343025</xdr:colOff>
      <xdr:row>350</xdr:row>
      <xdr:rowOff>95250</xdr:rowOff>
    </xdr:from>
    <xdr:to>
      <xdr:col>13</xdr:col>
      <xdr:colOff>2921244</xdr:colOff>
      <xdr:row>369</xdr:row>
      <xdr:rowOff>133350</xdr:rowOff>
    </xdr:to>
    <xdr:graphicFrame macro="">
      <xdr:nvGraphicFramePr>
        <xdr:cNvPr id="56" name="Chart 55">
          <a:extLst>
            <a:ext uri="{FF2B5EF4-FFF2-40B4-BE49-F238E27FC236}">
              <a16:creationId xmlns:a16="http://schemas.microsoft.com/office/drawing/2014/main" id="{89E12451-3CD4-4B85-9A14-13433CDA9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471488</xdr:colOff>
      <xdr:row>268</xdr:row>
      <xdr:rowOff>93052</xdr:rowOff>
    </xdr:from>
    <xdr:to>
      <xdr:col>3</xdr:col>
      <xdr:colOff>720662</xdr:colOff>
      <xdr:row>286</xdr:row>
      <xdr:rowOff>65620</xdr:rowOff>
    </xdr:to>
    <xdr:graphicFrame macro="">
      <xdr:nvGraphicFramePr>
        <xdr:cNvPr id="57" name="Chart 56">
          <a:extLst>
            <a:ext uri="{FF2B5EF4-FFF2-40B4-BE49-F238E27FC236}">
              <a16:creationId xmlns:a16="http://schemas.microsoft.com/office/drawing/2014/main" id="{CA9BEF29-A14C-0740-4AED-FE27738FF4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439615</xdr:colOff>
      <xdr:row>288</xdr:row>
      <xdr:rowOff>80595</xdr:rowOff>
    </xdr:from>
    <xdr:to>
      <xdr:col>3</xdr:col>
      <xdr:colOff>688789</xdr:colOff>
      <xdr:row>306</xdr:row>
      <xdr:rowOff>53163</xdr:rowOff>
    </xdr:to>
    <xdr:graphicFrame macro="">
      <xdr:nvGraphicFramePr>
        <xdr:cNvPr id="58" name="Chart 57">
          <a:extLst>
            <a:ext uri="{FF2B5EF4-FFF2-40B4-BE49-F238E27FC236}">
              <a16:creationId xmlns:a16="http://schemas.microsoft.com/office/drawing/2014/main" id="{CCE593F4-DE12-4560-972F-A8E461566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417635</xdr:colOff>
      <xdr:row>308</xdr:row>
      <xdr:rowOff>87923</xdr:rowOff>
    </xdr:from>
    <xdr:to>
      <xdr:col>3</xdr:col>
      <xdr:colOff>666809</xdr:colOff>
      <xdr:row>326</xdr:row>
      <xdr:rowOff>60491</xdr:rowOff>
    </xdr:to>
    <xdr:graphicFrame macro="">
      <xdr:nvGraphicFramePr>
        <xdr:cNvPr id="59" name="Chart 58">
          <a:extLst>
            <a:ext uri="{FF2B5EF4-FFF2-40B4-BE49-F238E27FC236}">
              <a16:creationId xmlns:a16="http://schemas.microsoft.com/office/drawing/2014/main" id="{0FBD51C6-DE69-4932-845B-2D832650B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421612</xdr:colOff>
      <xdr:row>328</xdr:row>
      <xdr:rowOff>98705</xdr:rowOff>
    </xdr:from>
    <xdr:to>
      <xdr:col>5</xdr:col>
      <xdr:colOff>593062</xdr:colOff>
      <xdr:row>347</xdr:row>
      <xdr:rowOff>136805</xdr:rowOff>
    </xdr:to>
    <xdr:graphicFrame macro="">
      <xdr:nvGraphicFramePr>
        <xdr:cNvPr id="10" name="Chart 9">
          <a:extLst>
            <a:ext uri="{FF2B5EF4-FFF2-40B4-BE49-F238E27FC236}">
              <a16:creationId xmlns:a16="http://schemas.microsoft.com/office/drawing/2014/main" id="{88F4D039-3252-9CA0-ACBF-1989F84A0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801478</xdr:colOff>
      <xdr:row>350</xdr:row>
      <xdr:rowOff>122989</xdr:rowOff>
    </xdr:from>
    <xdr:to>
      <xdr:col>9</xdr:col>
      <xdr:colOff>628057</xdr:colOff>
      <xdr:row>369</xdr:row>
      <xdr:rowOff>161089</xdr:rowOff>
    </xdr:to>
    <xdr:graphicFrame macro="">
      <xdr:nvGraphicFramePr>
        <xdr:cNvPr id="28" name="Chart 27">
          <a:extLst>
            <a:ext uri="{FF2B5EF4-FFF2-40B4-BE49-F238E27FC236}">
              <a16:creationId xmlns:a16="http://schemas.microsoft.com/office/drawing/2014/main" id="{5C1117BB-9C5E-8E49-0748-F4B2FAE1A5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44450</xdr:colOff>
      <xdr:row>0</xdr:row>
      <xdr:rowOff>38100</xdr:rowOff>
    </xdr:from>
    <xdr:to>
      <xdr:col>3</xdr:col>
      <xdr:colOff>253127</xdr:colOff>
      <xdr:row>0</xdr:row>
      <xdr:rowOff>716756</xdr:rowOff>
    </xdr:to>
    <xdr:pic>
      <xdr:nvPicPr>
        <xdr:cNvPr id="2" name="Picture 1">
          <a:extLst>
            <a:ext uri="{FF2B5EF4-FFF2-40B4-BE49-F238E27FC236}">
              <a16:creationId xmlns:a16="http://schemas.microsoft.com/office/drawing/2014/main" id="{3BCEEA08-7F52-4CF5-A0D2-D71A904F2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34950" y="228600"/>
          <a:ext cx="1650127" cy="678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21980</xdr:colOff>
      <xdr:row>0</xdr:row>
      <xdr:rowOff>29308</xdr:rowOff>
    </xdr:from>
    <xdr:to>
      <xdr:col>2</xdr:col>
      <xdr:colOff>60184</xdr:colOff>
      <xdr:row>0</xdr:row>
      <xdr:rowOff>707964</xdr:rowOff>
    </xdr:to>
    <xdr:pic>
      <xdr:nvPicPr>
        <xdr:cNvPr id="2" name="Picture 1">
          <a:extLst>
            <a:ext uri="{FF2B5EF4-FFF2-40B4-BE49-F238E27FC236}">
              <a16:creationId xmlns:a16="http://schemas.microsoft.com/office/drawing/2014/main" id="{B54DE98F-72C5-44F8-89CD-F5FFE2E5E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12480" y="29308"/>
          <a:ext cx="1650127" cy="678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435689</xdr:colOff>
      <xdr:row>0</xdr:row>
      <xdr:rowOff>678656</xdr:rowOff>
    </xdr:to>
    <xdr:pic>
      <xdr:nvPicPr>
        <xdr:cNvPr id="2" name="Picture 1">
          <a:extLst>
            <a:ext uri="{FF2B5EF4-FFF2-40B4-BE49-F238E27FC236}">
              <a16:creationId xmlns:a16="http://schemas.microsoft.com/office/drawing/2014/main" id="{AD0D1952-006A-4632-92F1-9DE0F0B03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90500" y="0"/>
          <a:ext cx="1650127" cy="678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Brand Palette">
      <a:dk1>
        <a:sysClr val="windowText" lastClr="000000"/>
      </a:dk1>
      <a:lt1>
        <a:sysClr val="window" lastClr="FFFFFF"/>
      </a:lt1>
      <a:dk2>
        <a:srgbClr val="172C4C"/>
      </a:dk2>
      <a:lt2>
        <a:srgbClr val="E4E9EF"/>
      </a:lt2>
      <a:accent1>
        <a:srgbClr val="172C4C"/>
      </a:accent1>
      <a:accent2>
        <a:srgbClr val="496D91"/>
      </a:accent2>
      <a:accent3>
        <a:srgbClr val="7EB328"/>
      </a:accent3>
      <a:accent4>
        <a:srgbClr val="E5B72A"/>
      </a:accent4>
      <a:accent5>
        <a:srgbClr val="B6C3D7"/>
      </a:accent5>
      <a:accent6>
        <a:srgbClr val="EA9C5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eesi.org/articles/view/data-centers-and-water-consumption" TargetMode="External"/><Relationship Id="rId18" Type="http://schemas.openxmlformats.org/officeDocument/2006/relationships/hyperlink" Target="https://datacenter.uptimeinstitute.com/rs/711-RIA-145/images/2024.Spending.Survey.3Pager.pdf" TargetMode="External"/><Relationship Id="rId26" Type="http://schemas.openxmlformats.org/officeDocument/2006/relationships/hyperlink" Target="https://pytorchtoatoms.substack.com/p/metas-24k-h100-cluster-capextco-and" TargetMode="External"/><Relationship Id="rId3" Type="http://schemas.openxmlformats.org/officeDocument/2006/relationships/hyperlink" Target="https://dgtlinfra.com/how-much-does-it-cost-to-build-a-data-center/" TargetMode="External"/><Relationship Id="rId21" Type="http://schemas.openxmlformats.org/officeDocument/2006/relationships/hyperlink" Target="https://fred.stlouisfed.org/series/PCU518210518210" TargetMode="External"/><Relationship Id="rId34" Type="http://schemas.openxmlformats.org/officeDocument/2006/relationships/hyperlink" Target="https://thenetworkinstallers.com/blog/data-center-construction-statistics/" TargetMode="External"/><Relationship Id="rId7" Type="http://schemas.openxmlformats.org/officeDocument/2006/relationships/hyperlink" Target="https://www.eia.gov/electricity/sales_revenue_price/pdf/table_4.pdf" TargetMode="External"/><Relationship Id="rId12" Type="http://schemas.openxmlformats.org/officeDocument/2006/relationships/hyperlink" Target="https://eta-publications.lbl.gov/sites/default/files/2024-12/lbnl-2024-united-states-data-center-energy-usage-report_1.pdf" TargetMode="External"/><Relationship Id="rId17" Type="http://schemas.openxmlformats.org/officeDocument/2006/relationships/hyperlink" Target="https://thundersaidenergy.com/downloads/data-centers-the-economics/" TargetMode="External"/><Relationship Id="rId25" Type="http://schemas.openxmlformats.org/officeDocument/2006/relationships/hyperlink" Target="https://www.investing.com/news/stock-market-news/how-much-does-a-gw-of-data-center-capacity-actually-cost-4314046" TargetMode="External"/><Relationship Id="rId33" Type="http://schemas.openxmlformats.org/officeDocument/2006/relationships/hyperlink" Target="https://epoch.ai/data-insights/data-centers-buildout-speeds" TargetMode="External"/><Relationship Id="rId2" Type="http://schemas.openxmlformats.org/officeDocument/2006/relationships/hyperlink" Target="https://reports.turnerandtownsend.com/data-centre-construction-cost-index-2025/" TargetMode="External"/><Relationship Id="rId16" Type="http://schemas.openxmlformats.org/officeDocument/2006/relationships/hyperlink" Target="https://www.alpha-matica.com/post/deconstructing-the-data-center-a-look-at-the-cost-structure-1" TargetMode="External"/><Relationship Id="rId20" Type="http://schemas.openxmlformats.org/officeDocument/2006/relationships/hyperlink" Target="https://fred.stlouisfed.org/series/PCU511210511210" TargetMode="External"/><Relationship Id="rId29" Type="http://schemas.openxmlformats.org/officeDocument/2006/relationships/hyperlink" Target="https://www.computeforecast.com/blogs/data-center-interconnection-delays/" TargetMode="External"/><Relationship Id="rId1" Type="http://schemas.openxmlformats.org/officeDocument/2006/relationships/hyperlink" Target="https://www.jll.com/en-us/insights/market-outlook/data-center-outlook" TargetMode="External"/><Relationship Id="rId6" Type="http://schemas.openxmlformats.org/officeDocument/2006/relationships/hyperlink" Target="https://datacenter.uptimeinstitute.com/rs/711-RIA-145/images/2024.GlobalDataCenterSurvey.Report.pdf" TargetMode="External"/><Relationship Id="rId11" Type="http://schemas.openxmlformats.org/officeDocument/2006/relationships/hyperlink" Target="https://cologix.com/resources/blogs/liquid-cooling-for-data-centers-meeting-the-growing-demand-of-ai/" TargetMode="External"/><Relationship Id="rId24" Type="http://schemas.openxmlformats.org/officeDocument/2006/relationships/hyperlink" Target="https://www.alpha-matica.com/post/deconstructing-the-data-center-a-look-at-the-cost-structure-1" TargetMode="External"/><Relationship Id="rId32" Type="http://schemas.openxmlformats.org/officeDocument/2006/relationships/hyperlink" Target="https://www.crusoe.ai/resources/newsroom/crusoe-announces-flagship-abilene-data-center-is-live" TargetMode="External"/><Relationship Id="rId5" Type="http://schemas.openxmlformats.org/officeDocument/2006/relationships/hyperlink" Target="https://www.equinix.com/resources/data-sheets/sustainability-data-summary" TargetMode="External"/><Relationship Id="rId15" Type="http://schemas.openxmlformats.org/officeDocument/2006/relationships/hyperlink" Target="https://www.energy.gov/sites/default/files/2024-03/femp-utility-escalation-guidance-2024.pdf" TargetMode="External"/><Relationship Id="rId23" Type="http://schemas.openxmlformats.org/officeDocument/2006/relationships/hyperlink" Target="https://www.uschamber.com/assets/documents/ctec_datacenterrpt_lowres.pdf" TargetMode="External"/><Relationship Id="rId28" Type="http://schemas.openxmlformats.org/officeDocument/2006/relationships/hyperlink" Target="https://www.bain.com/about/media-center/press-releases/20252/next-phase-of-data-center-growth-to-be-more-disciplined-but-risks-of-power-constraints-and-construction-delays-remain-bain--co-research/" TargetMode="External"/><Relationship Id="rId36" Type="http://schemas.openxmlformats.org/officeDocument/2006/relationships/drawing" Target="../drawings/drawing3.xml"/><Relationship Id="rId10" Type="http://schemas.openxmlformats.org/officeDocument/2006/relationships/hyperlink" Target="https://aws.amazon.com/sustainability/" TargetMode="External"/><Relationship Id="rId19" Type="http://schemas.openxmlformats.org/officeDocument/2006/relationships/hyperlink" Target="https://www.energy.gov/sites/default/files/2024-03/femp-utility-escalation-guidance-2024.pdf" TargetMode="External"/><Relationship Id="rId31" Type="http://schemas.openxmlformats.org/officeDocument/2006/relationships/hyperlink" Target="https://epoch.ai/data-insights/data-centers-buildout-speeds" TargetMode="External"/><Relationship Id="rId4" Type="http://schemas.openxmlformats.org/officeDocument/2006/relationships/hyperlink" Target="https://sustainability.google/reports/google-2025-environmental-report/" TargetMode="External"/><Relationship Id="rId9" Type="http://schemas.openxmlformats.org/officeDocument/2006/relationships/hyperlink" Target="https://www.greening-e.us/ppa-price-trends-2025-us-solar-market/" TargetMode="External"/><Relationship Id="rId14" Type="http://schemas.openxmlformats.org/officeDocument/2006/relationships/hyperlink" Target="https://www.epa.gov/watersense/data-and-information-used-watersense" TargetMode="External"/><Relationship Id="rId22" Type="http://schemas.openxmlformats.org/officeDocument/2006/relationships/hyperlink" Target="https://www.princewilliamtimes.com/news/supervisors-consider-raising-taxes-on-data-centers-again/article_e3a130e2-fff8-11ef-97f5-33a0fe1e4d7e.html" TargetMode="External"/><Relationship Id="rId27" Type="http://schemas.openxmlformats.org/officeDocument/2006/relationships/hyperlink" Target="https://www.datacenters.com/news/data-center-construction-in-2025-permitting-power-and-pitfalls-to-avoid" TargetMode="External"/><Relationship Id="rId30" Type="http://schemas.openxmlformats.org/officeDocument/2006/relationships/hyperlink" Target="https://www.camus.energy/blog/why-does-it-take-so-long-to-connect-a-data-center-to-the-grid" TargetMode="External"/><Relationship Id="rId35" Type="http://schemas.openxmlformats.org/officeDocument/2006/relationships/printerSettings" Target="../printerSettings/printerSettings2.bin"/><Relationship Id="rId8" Type="http://schemas.openxmlformats.org/officeDocument/2006/relationships/hyperlink" Target="https://www.pv-tech.org/north-american-solar-ppa-prices-climb-us61-67-mwh-european-prices-continue-fall/"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cyfuture.cloud/kb/gpu/what-is-the-failure-rate-of-the-h100-gpu" TargetMode="External"/><Relationship Id="rId7" Type="http://schemas.openxmlformats.org/officeDocument/2006/relationships/hyperlink" Target="https://arxiv.org/html/2601.20115" TargetMode="External"/><Relationship Id="rId2" Type="http://schemas.openxmlformats.org/officeDocument/2006/relationships/hyperlink" Target="https://arxiv.org/pdf/2503.11901" TargetMode="External"/><Relationship Id="rId1" Type="http://schemas.openxmlformats.org/officeDocument/2006/relationships/hyperlink" Target="https://resources.nvidia.com/en-us-gpu-resources/h100-datasheet-24306" TargetMode="External"/><Relationship Id="rId6" Type="http://schemas.openxmlformats.org/officeDocument/2006/relationships/hyperlink" Target="https://epoch.ai/blog/trends-in-gpu-price-performance" TargetMode="External"/><Relationship Id="rId5" Type="http://schemas.openxmlformats.org/officeDocument/2006/relationships/hyperlink" Target="https://epoch.ai/data-insights/ml-hardware-energy-efficiency" TargetMode="External"/><Relationship Id="rId4" Type="http://schemas.openxmlformats.org/officeDocument/2006/relationships/hyperlink" Target="https://arxiv.org/pdf/2407.21783"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bir.com/datasheets/VANTABLACK-S_White%20_Paper.pdf" TargetMode="External"/><Relationship Id="rId18" Type="http://schemas.openxmlformats.org/officeDocument/2006/relationships/hyperlink" Target="https://www.aircraftspruce.com/catalog/mepages/5052H_alsheet.php" TargetMode="External"/><Relationship Id="rId26" Type="http://schemas.openxmlformats.org/officeDocument/2006/relationships/hyperlink" Target="https://www.prnewswire.com/news-releases/iridium-declares-victory-3-billion-satellite-constellation-upgrade-complete-300790942.html" TargetMode="External"/><Relationship Id="rId39" Type="http://schemas.openxmlformats.org/officeDocument/2006/relationships/hyperlink" Target="https://www.nextbigfuture.com/2025/01/spacex-starship-roadmap-to-100-times-lower-cost-launch.html" TargetMode="External"/><Relationship Id="rId21" Type="http://schemas.openxmlformats.org/officeDocument/2006/relationships/hyperlink" Target="https://www.apexspace.com/platforms/leo-aries" TargetMode="External"/><Relationship Id="rId34" Type="http://schemas.openxmlformats.org/officeDocument/2006/relationships/hyperlink" Target="https://www.basenor.com/blogs/news/spacex-scores-90m-starship-contract-to-launch-starlab-space-station" TargetMode="External"/><Relationship Id="rId42" Type="http://schemas.openxmlformats.org/officeDocument/2006/relationships/drawing" Target="../drawings/drawing5.xml"/><Relationship Id="rId7" Type="http://schemas.openxmlformats.org/officeDocument/2006/relationships/hyperlink" Target="https://www.nvidia.com/content/dam/en-zz/Solutions/gtcs22/data-center/h100/PB-11133-001_v01.pdf" TargetMode="External"/><Relationship Id="rId2" Type="http://schemas.openxmlformats.org/officeDocument/2006/relationships/hyperlink" Target="https://www.nanowerk.com/spotlight/spotid=68708.php" TargetMode="External"/><Relationship Id="rId16" Type="http://schemas.openxmlformats.org/officeDocument/2006/relationships/hyperlink" Target="https://rdw.com/wp-content/uploads/2023/06/redwire-qrad-flysheet.pdf" TargetMode="External"/><Relationship Id="rId20" Type="http://schemas.openxmlformats.org/officeDocument/2006/relationships/hyperlink" Target="https://acpcomposites.com/shop/core-materials/aluminum-honeycomb-core" TargetMode="External"/><Relationship Id="rId29" Type="http://schemas.openxmlformats.org/officeDocument/2006/relationships/hyperlink" Target="https://www.armadainternational.com/2020/03/space-on-budget/" TargetMode="External"/><Relationship Id="rId41" Type="http://schemas.openxmlformats.org/officeDocument/2006/relationships/hyperlink" Target="https://spacenews.com/spacex-plans-next-starship-test-flight-in-march/" TargetMode="External"/><Relationship Id="rId1" Type="http://schemas.openxmlformats.org/officeDocument/2006/relationships/hyperlink" Target="https://www.openpr.com/news/4389146/multi-junction-space-solar-cells-market-to-reach-us-419-million" TargetMode="External"/><Relationship Id="rId6" Type="http://schemas.openxmlformats.org/officeDocument/2006/relationships/hyperlink" Target="https://rdw.com/wp-content/uploads/2023/06/redwire-roll-out-solar-array-flysheet.pdf" TargetMode="External"/><Relationship Id="rId11" Type="http://schemas.openxmlformats.org/officeDocument/2006/relationships/hyperlink" Target="https://science.nasa.gov/science-research/science-enabling-technology/technology-highlights/integrated-circuits-to-enable-exploration-of-the-harshest-environments-in-solar-system/" TargetMode="External"/><Relationship Id="rId24" Type="http://schemas.openxmlformats.org/officeDocument/2006/relationships/hyperlink" Target="https://www.sec.gov/Archives/edgar/data/0001418819/000162828025005300/pressreleaseq42024.htm" TargetMode="External"/><Relationship Id="rId32" Type="http://schemas.openxmlformats.org/officeDocument/2006/relationships/hyperlink" Target="https://en.wikipedia.org/wiki/SpaceX_Starship" TargetMode="External"/><Relationship Id="rId37" Type="http://schemas.openxmlformats.org/officeDocument/2006/relationships/hyperlink" Target="https://newspaceeconomy.ca/2025/12/12/the-heavy-lifters-a-comparative-analysis-of-launch-vehicle-payload-capacities/" TargetMode="External"/><Relationship Id="rId40" Type="http://schemas.openxmlformats.org/officeDocument/2006/relationships/hyperlink" Target="https://www.nextbigfuture.com/2025/08/spacex-launch-will-be-five-times-lower-cost-for-end-of-2025.html" TargetMode="External"/><Relationship Id="rId5" Type="http://schemas.openxmlformats.org/officeDocument/2006/relationships/hyperlink" Target="https://terawatt.space/" TargetMode="External"/><Relationship Id="rId15" Type="http://schemas.openxmlformats.org/officeDocument/2006/relationships/hyperlink" Target="https://www.metallock.com/wp-content/uploads/2022/07/Aluminum-Honeycomb-Panel-Technical-Data-2.pdf" TargetMode="External"/><Relationship Id="rId23" Type="http://schemas.openxmlformats.org/officeDocument/2006/relationships/hyperlink" Target="https://spacenews.com/falcon-9-nearing-its-peak-launch-rate/" TargetMode="External"/><Relationship Id="rId28" Type="http://schemas.openxmlformats.org/officeDocument/2006/relationships/hyperlink" Target="https://www.quiltyspace.com/post/understanding-starlink-s-dutch-financial-statement" TargetMode="External"/><Relationship Id="rId36" Type="http://schemas.openxmlformats.org/officeDocument/2006/relationships/hyperlink" Target="https://starship-spacex.fandom.com/wiki/Ship_(Starship%27s_Second_Stage)" TargetMode="External"/><Relationship Id="rId10" Type="http://schemas.openxmlformats.org/officeDocument/2006/relationships/hyperlink" Target="https://www.nasa.gov/glenn/research/silicon-carbide-electronics-sensors/" TargetMode="External"/><Relationship Id="rId19" Type="http://schemas.openxmlformats.org/officeDocument/2006/relationships/hyperlink" Target="https://shop.machinemfg.com/comprehensive-guide-to-aluminium-5052-pricing-properties-and-suppliers/" TargetMode="External"/><Relationship Id="rId31" Type="http://schemas.openxmlformats.org/officeDocument/2006/relationships/hyperlink" Target="https://www.nasaspaceflight.com/2025/05/future-starship-block-3-mars/" TargetMode="External"/><Relationship Id="rId4" Type="http://schemas.openxmlformats.org/officeDocument/2006/relationships/hyperlink" Target="https://www.source.space/products/solar-modules" TargetMode="External"/><Relationship Id="rId9" Type="http://schemas.openxmlformats.org/officeDocument/2006/relationships/hyperlink" Target="https://news.synopsys.com/2016-09-21-Synopsys-Foundation-IP-Meets-Stringent-Automotive-AEC-Q100-Grade-1-Temperature-Requirements-for-TSMC-16FFC-and-28HPC-Processes" TargetMode="External"/><Relationship Id="rId14" Type="http://schemas.openxmlformats.org/officeDocument/2006/relationships/hyperlink" Target="https://www.imveurope.com/press-releases/vantablack" TargetMode="External"/><Relationship Id="rId22" Type="http://schemas.openxmlformats.org/officeDocument/2006/relationships/hyperlink" Target="https://en.wikipedia.org/wiki/Falcon_9" TargetMode="External"/><Relationship Id="rId27" Type="http://schemas.openxmlformats.org/officeDocument/2006/relationships/hyperlink" Target="https://www.nextbigfuture.com/2022/05/lifetime-revenue-of-each-spacex-starlink-constellation.html" TargetMode="External"/><Relationship Id="rId30" Type="http://schemas.openxmlformats.org/officeDocument/2006/relationships/hyperlink" Target="https://www.spacex.com/media/starship_users_guide_v1.pdf" TargetMode="External"/><Relationship Id="rId35" Type="http://schemas.openxmlformats.org/officeDocument/2006/relationships/hyperlink" Target="https://en.wikipedia.org/wiki/List_of_Starship_launches" TargetMode="External"/><Relationship Id="rId8" Type="http://schemas.openxmlformats.org/officeDocument/2006/relationships/hyperlink" Target="https://meridian.allenpress.com/jmep/article/10/2/67/36791/High-Temperature-Characterization-up-to-450-C-of" TargetMode="External"/><Relationship Id="rId3" Type="http://schemas.openxmlformats.org/officeDocument/2006/relationships/hyperlink" Target="https://www.marketreportanalytics.com/reports/multi-junction-gallium-arsenide-solar-cells-237612" TargetMode="External"/><Relationship Id="rId12" Type="http://schemas.openxmlformats.org/officeDocument/2006/relationships/hyperlink" Target="https://www.aztechnology.com/product/1/az-93" TargetMode="External"/><Relationship Id="rId17" Type="http://schemas.openxmlformats.org/officeDocument/2006/relationships/hyperlink" Target="https://digitalcommons.usu.edu/cgi/viewcontent.cgi?article=6049&amp;context=smallsat" TargetMode="External"/><Relationship Id="rId25" Type="http://schemas.openxmlformats.org/officeDocument/2006/relationships/hyperlink" Target="https://www.sec.gov/Archives/edgar/data/0001418819/000110465924041339/tm2331396d2_ars.pdf" TargetMode="External"/><Relationship Id="rId33" Type="http://schemas.openxmlformats.org/officeDocument/2006/relationships/hyperlink" Target="https://spacenews.com/starlab-space-fully-books-commercial-payload-space-on-planned-space-station/" TargetMode="External"/><Relationship Id="rId38" Type="http://schemas.openxmlformats.org/officeDocument/2006/relationships/hyperlink" Target="https://www.nasaspaceflight.com/2025/05/future-starship-block-3-m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9FE1D-1123-4F15-A70F-E4465EEA203C}">
  <dimension ref="B1:C57"/>
  <sheetViews>
    <sheetView showGridLines="0" tabSelected="1" zoomScale="145" zoomScaleNormal="145" workbookViewId="0"/>
  </sheetViews>
  <sheetFormatPr defaultColWidth="9.140625" defaultRowHeight="15" x14ac:dyDescent="0.25"/>
  <cols>
    <col min="1" max="1" width="2.85546875" style="1" customWidth="1"/>
    <col min="2" max="2" width="17.42578125" style="1" customWidth="1"/>
    <col min="3" max="3" width="72.42578125" style="1" customWidth="1"/>
    <col min="4" max="16384" width="9.140625" style="1"/>
  </cols>
  <sheetData>
    <row r="1" spans="2:3" ht="60" customHeight="1" x14ac:dyDescent="0.25">
      <c r="C1" s="127">
        <v>46128</v>
      </c>
    </row>
    <row r="2" spans="2:3" x14ac:dyDescent="0.25">
      <c r="B2" s="16" t="s">
        <v>151</v>
      </c>
    </row>
    <row r="3" spans="2:3" x14ac:dyDescent="0.25">
      <c r="B3" s="1" t="s">
        <v>138</v>
      </c>
      <c r="C3" s="1" t="s">
        <v>159</v>
      </c>
    </row>
    <row r="5" spans="2:3" x14ac:dyDescent="0.25">
      <c r="B5" s="16" t="s">
        <v>144</v>
      </c>
    </row>
    <row r="6" spans="2:3" x14ac:dyDescent="0.25">
      <c r="B6" s="2" t="s">
        <v>146</v>
      </c>
      <c r="C6" s="2" t="s">
        <v>72</v>
      </c>
    </row>
    <row r="7" spans="2:3" x14ac:dyDescent="0.25">
      <c r="B7" s="2" t="s">
        <v>145</v>
      </c>
      <c r="C7" s="2" t="s">
        <v>73</v>
      </c>
    </row>
    <row r="8" spans="2:3" x14ac:dyDescent="0.25">
      <c r="B8" s="2" t="s">
        <v>147</v>
      </c>
      <c r="C8" s="2" t="s">
        <v>148</v>
      </c>
    </row>
    <row r="9" spans="2:3" x14ac:dyDescent="0.25">
      <c r="B9" s="2" t="s">
        <v>71</v>
      </c>
      <c r="C9" s="2" t="s">
        <v>133</v>
      </c>
    </row>
    <row r="10" spans="2:3" x14ac:dyDescent="0.25">
      <c r="B10" s="2" t="s">
        <v>74</v>
      </c>
      <c r="C10" s="2" t="s">
        <v>150</v>
      </c>
    </row>
    <row r="12" spans="2:3" x14ac:dyDescent="0.25">
      <c r="B12" s="16" t="s">
        <v>800</v>
      </c>
    </row>
    <row r="13" spans="2:3" x14ac:dyDescent="0.25">
      <c r="B13" s="2" t="s">
        <v>795</v>
      </c>
      <c r="C13" s="2" t="s">
        <v>152</v>
      </c>
    </row>
    <row r="14" spans="2:3" x14ac:dyDescent="0.25">
      <c r="B14" s="2" t="s">
        <v>792</v>
      </c>
      <c r="C14" s="2" t="s">
        <v>796</v>
      </c>
    </row>
    <row r="15" spans="2:3" x14ac:dyDescent="0.25">
      <c r="B15" s="2" t="s">
        <v>793</v>
      </c>
      <c r="C15" s="2" t="s">
        <v>798</v>
      </c>
    </row>
    <row r="16" spans="2:3" x14ac:dyDescent="0.25">
      <c r="B16" s="2" t="s">
        <v>794</v>
      </c>
      <c r="C16" s="2" t="s">
        <v>797</v>
      </c>
    </row>
    <row r="18" spans="2:3" x14ac:dyDescent="0.25">
      <c r="B18" s="157" t="s">
        <v>56</v>
      </c>
      <c r="C18" s="157"/>
    </row>
    <row r="19" spans="2:3" x14ac:dyDescent="0.25">
      <c r="B19" s="158" t="s">
        <v>53</v>
      </c>
      <c r="C19" s="158"/>
    </row>
    <row r="20" spans="2:3" x14ac:dyDescent="0.25">
      <c r="B20" s="159" t="s">
        <v>142</v>
      </c>
      <c r="C20" s="159"/>
    </row>
    <row r="21" spans="2:3" x14ac:dyDescent="0.25">
      <c r="B21" s="160" t="s">
        <v>54</v>
      </c>
      <c r="C21" s="160"/>
    </row>
    <row r="22" spans="2:3" x14ac:dyDescent="0.25">
      <c r="B22" s="161" t="s">
        <v>143</v>
      </c>
      <c r="C22" s="161"/>
    </row>
    <row r="23" spans="2:3" x14ac:dyDescent="0.25">
      <c r="B23" s="164" t="s">
        <v>55</v>
      </c>
      <c r="C23" s="164"/>
    </row>
    <row r="25" spans="2:3" x14ac:dyDescent="0.25">
      <c r="B25" s="16" t="s">
        <v>0</v>
      </c>
    </row>
    <row r="26" spans="2:3" ht="15" customHeight="1" x14ac:dyDescent="0.25">
      <c r="B26" s="163" t="s">
        <v>153</v>
      </c>
      <c r="C26" s="163"/>
    </row>
    <row r="27" spans="2:3" ht="15" customHeight="1" x14ac:dyDescent="0.25">
      <c r="B27" s="163" t="s">
        <v>883</v>
      </c>
      <c r="C27" s="163"/>
    </row>
    <row r="28" spans="2:3" ht="15" customHeight="1" x14ac:dyDescent="0.25">
      <c r="B28" s="163" t="s">
        <v>154</v>
      </c>
      <c r="C28" s="163"/>
    </row>
    <row r="29" spans="2:3" ht="15" customHeight="1" x14ac:dyDescent="0.25">
      <c r="B29" s="163" t="s">
        <v>881</v>
      </c>
      <c r="C29" s="163"/>
    </row>
    <row r="30" spans="2:3" ht="30" customHeight="1" x14ac:dyDescent="0.25">
      <c r="B30" s="163" t="s">
        <v>155</v>
      </c>
      <c r="C30" s="163"/>
    </row>
    <row r="31" spans="2:3" ht="30" customHeight="1" x14ac:dyDescent="0.25">
      <c r="B31" s="163" t="s">
        <v>158</v>
      </c>
      <c r="C31" s="163"/>
    </row>
    <row r="32" spans="2:3" x14ac:dyDescent="0.25">
      <c r="B32" s="162" t="s">
        <v>882</v>
      </c>
      <c r="C32" s="162"/>
    </row>
    <row r="34" spans="2:3" x14ac:dyDescent="0.25">
      <c r="B34" s="16" t="s">
        <v>139</v>
      </c>
    </row>
    <row r="35" spans="2:3" ht="30" customHeight="1" x14ac:dyDescent="0.25">
      <c r="B35" s="2" t="s">
        <v>140</v>
      </c>
      <c r="C35" s="5" t="s">
        <v>156</v>
      </c>
    </row>
    <row r="36" spans="2:3" ht="30" customHeight="1" x14ac:dyDescent="0.25">
      <c r="B36" s="2" t="s">
        <v>141</v>
      </c>
      <c r="C36" s="5" t="s">
        <v>157</v>
      </c>
    </row>
    <row r="38" spans="2:3" x14ac:dyDescent="0.25">
      <c r="B38" s="128" t="s">
        <v>801</v>
      </c>
    </row>
    <row r="39" spans="2:3" ht="167.25" customHeight="1" x14ac:dyDescent="0.25">
      <c r="B39" s="156" t="s">
        <v>884</v>
      </c>
      <c r="C39" s="156"/>
    </row>
    <row r="40" spans="2:3" x14ac:dyDescent="0.25">
      <c r="B40" s="63"/>
    </row>
    <row r="42" spans="2:3" x14ac:dyDescent="0.25">
      <c r="B42" s="63"/>
    </row>
    <row r="43" spans="2:3" x14ac:dyDescent="0.25">
      <c r="B43" s="63"/>
    </row>
    <row r="44" spans="2:3" x14ac:dyDescent="0.25">
      <c r="B44" s="63"/>
    </row>
    <row r="46" spans="2:3" x14ac:dyDescent="0.25">
      <c r="B46" s="16"/>
    </row>
    <row r="47" spans="2:3" x14ac:dyDescent="0.25">
      <c r="B47" s="63"/>
    </row>
    <row r="48" spans="2:3" x14ac:dyDescent="0.25">
      <c r="B48" s="63"/>
    </row>
    <row r="49" spans="2:2" x14ac:dyDescent="0.25">
      <c r="B49" s="63"/>
    </row>
    <row r="50" spans="2:2" x14ac:dyDescent="0.25">
      <c r="B50" s="63"/>
    </row>
    <row r="51" spans="2:2" x14ac:dyDescent="0.25">
      <c r="B51" s="63"/>
    </row>
    <row r="53" spans="2:2" x14ac:dyDescent="0.25">
      <c r="B53" s="41"/>
    </row>
    <row r="54" spans="2:2" x14ac:dyDescent="0.25">
      <c r="B54" s="41"/>
    </row>
    <row r="57" spans="2:2" x14ac:dyDescent="0.25">
      <c r="B57" s="16"/>
    </row>
  </sheetData>
  <mergeCells count="14">
    <mergeCell ref="B39:C39"/>
    <mergeCell ref="B18:C18"/>
    <mergeCell ref="B19:C19"/>
    <mergeCell ref="B20:C20"/>
    <mergeCell ref="B21:C21"/>
    <mergeCell ref="B22:C22"/>
    <mergeCell ref="B32:C32"/>
    <mergeCell ref="B29:C29"/>
    <mergeCell ref="B30:C30"/>
    <mergeCell ref="B31:C31"/>
    <mergeCell ref="B23:C23"/>
    <mergeCell ref="B26:C26"/>
    <mergeCell ref="B27:C27"/>
    <mergeCell ref="B28:C2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0CDDD-80ED-4593-91AF-62C87EFD8866}">
  <dimension ref="B1:AP376"/>
  <sheetViews>
    <sheetView showGridLines="0" zoomScale="130" zoomScaleNormal="130" workbookViewId="0"/>
  </sheetViews>
  <sheetFormatPr defaultColWidth="9.140625" defaultRowHeight="15" outlineLevelRow="1" outlineLevelCol="1" x14ac:dyDescent="0.25"/>
  <cols>
    <col min="1" max="1" width="2.85546875" style="1" customWidth="1"/>
    <col min="2" max="2" width="42.85546875" style="1" customWidth="1"/>
    <col min="3" max="5" width="21.42578125" style="1" customWidth="1"/>
    <col min="6" max="6" width="16.42578125" style="1" bestFit="1" customWidth="1"/>
    <col min="7" max="7" width="50" style="1" customWidth="1"/>
    <col min="8" max="8" width="2.85546875" style="1" customWidth="1"/>
    <col min="9" max="9" width="42.85546875" style="1" customWidth="1"/>
    <col min="10" max="10" width="25.28515625" style="1" customWidth="1"/>
    <col min="11" max="12" width="21.42578125" style="1" customWidth="1"/>
    <col min="13" max="13" width="17.85546875" style="1" bestFit="1" customWidth="1"/>
    <col min="14" max="14" width="50" style="1" customWidth="1"/>
    <col min="15" max="15" width="2.85546875" style="1" customWidth="1"/>
    <col min="16" max="16" width="42.85546875" style="1" hidden="1" customWidth="1" outlineLevel="1"/>
    <col min="17" max="17" width="25.28515625" style="1" hidden="1" customWidth="1" outlineLevel="1"/>
    <col min="18" max="21" width="21.42578125" style="1" hidden="1" customWidth="1" outlineLevel="1"/>
    <col min="22" max="22" width="17.85546875" style="1" hidden="1" customWidth="1" outlineLevel="1"/>
    <col min="23" max="23" width="50" style="1" hidden="1" customWidth="1" outlineLevel="1"/>
    <col min="24" max="24" width="2.85546875" style="1" hidden="1" customWidth="1" outlineLevel="1"/>
    <col min="25" max="25" width="42.85546875" style="1" hidden="1" customWidth="1" outlineLevel="1"/>
    <col min="26" max="26" width="25.28515625" style="1" hidden="1" customWidth="1" outlineLevel="1"/>
    <col min="27" max="30" width="21.42578125" style="1" hidden="1" customWidth="1" outlineLevel="1"/>
    <col min="31" max="31" width="17.85546875" style="1" hidden="1" customWidth="1" outlineLevel="1"/>
    <col min="32" max="32" width="50" style="1" hidden="1" customWidth="1" outlineLevel="1"/>
    <col min="33" max="33" width="9.140625" style="1" hidden="1" customWidth="1" outlineLevel="1"/>
    <col min="34" max="34" width="42.85546875" style="1" hidden="1" customWidth="1" outlineLevel="1"/>
    <col min="35" max="35" width="25.28515625" style="1" hidden="1" customWidth="1" outlineLevel="1"/>
    <col min="36" max="39" width="21.42578125" style="1" hidden="1" customWidth="1" outlineLevel="1"/>
    <col min="40" max="40" width="17.85546875" style="1" hidden="1" customWidth="1" outlineLevel="1"/>
    <col min="41" max="41" width="50" style="1" hidden="1" customWidth="1" outlineLevel="1"/>
    <col min="42" max="42" width="9.140625" style="1" collapsed="1"/>
    <col min="43" max="16384" width="9.140625" style="1"/>
  </cols>
  <sheetData>
    <row r="1" spans="2:41" ht="60" customHeight="1" x14ac:dyDescent="0.25">
      <c r="G1" s="129" t="s">
        <v>801</v>
      </c>
    </row>
    <row r="2" spans="2:41" ht="18.75" x14ac:dyDescent="0.3">
      <c r="B2" s="182" t="s">
        <v>72</v>
      </c>
      <c r="C2" s="182"/>
      <c r="D2" s="182"/>
      <c r="E2" s="182"/>
      <c r="F2" s="182"/>
      <c r="G2" s="182"/>
      <c r="I2" s="3" t="s">
        <v>73</v>
      </c>
      <c r="N2" s="20"/>
      <c r="P2" s="182" t="s">
        <v>766</v>
      </c>
      <c r="Q2" s="182"/>
      <c r="R2" s="182"/>
      <c r="S2" s="182"/>
      <c r="T2" s="182"/>
      <c r="U2" s="182"/>
      <c r="V2" s="182"/>
      <c r="W2" s="182"/>
      <c r="Y2" s="182" t="s">
        <v>768</v>
      </c>
      <c r="Z2" s="182"/>
      <c r="AA2" s="182"/>
      <c r="AB2" s="182"/>
      <c r="AC2" s="182"/>
      <c r="AD2" s="182"/>
      <c r="AE2" s="182"/>
      <c r="AF2" s="182"/>
      <c r="AH2" s="182" t="s">
        <v>769</v>
      </c>
      <c r="AI2" s="182"/>
      <c r="AJ2" s="182"/>
      <c r="AK2" s="182"/>
      <c r="AL2" s="182"/>
      <c r="AM2" s="182"/>
      <c r="AN2" s="182"/>
      <c r="AO2" s="182"/>
    </row>
    <row r="3" spans="2:41" ht="15.75" thickBot="1" x14ac:dyDescent="0.3">
      <c r="N3" s="20"/>
    </row>
    <row r="4" spans="2:41" ht="15.75" thickBot="1" x14ac:dyDescent="0.3">
      <c r="B4" s="13" t="s">
        <v>1</v>
      </c>
      <c r="C4" s="14" t="s">
        <v>736</v>
      </c>
      <c r="D4" s="14" t="s">
        <v>119</v>
      </c>
      <c r="E4" s="14" t="s">
        <v>737</v>
      </c>
      <c r="F4" s="14" t="s">
        <v>2</v>
      </c>
      <c r="G4" s="15" t="s">
        <v>3</v>
      </c>
      <c r="I4" s="13" t="s">
        <v>1</v>
      </c>
      <c r="J4" s="14" t="s">
        <v>736</v>
      </c>
      <c r="K4" s="14" t="s">
        <v>119</v>
      </c>
      <c r="L4" s="14" t="s">
        <v>737</v>
      </c>
      <c r="M4" s="14" t="s">
        <v>2</v>
      </c>
      <c r="N4" s="15" t="s">
        <v>3</v>
      </c>
      <c r="P4" s="13" t="s">
        <v>1</v>
      </c>
      <c r="Q4" s="14" t="s">
        <v>765</v>
      </c>
      <c r="R4" s="14" t="s">
        <v>765</v>
      </c>
      <c r="S4" s="14" t="s">
        <v>765</v>
      </c>
      <c r="T4" s="14" t="s">
        <v>765</v>
      </c>
      <c r="U4" s="14" t="s">
        <v>765</v>
      </c>
      <c r="V4" s="14" t="s">
        <v>2</v>
      </c>
      <c r="W4" s="15" t="s">
        <v>3</v>
      </c>
      <c r="Y4" s="13" t="s">
        <v>1</v>
      </c>
      <c r="Z4" s="14" t="s">
        <v>765</v>
      </c>
      <c r="AA4" s="14" t="s">
        <v>765</v>
      </c>
      <c r="AB4" s="14" t="s">
        <v>765</v>
      </c>
      <c r="AC4" s="14" t="s">
        <v>765</v>
      </c>
      <c r="AD4" s="14" t="s">
        <v>765</v>
      </c>
      <c r="AE4" s="14" t="s">
        <v>2</v>
      </c>
      <c r="AF4" s="15" t="s">
        <v>3</v>
      </c>
      <c r="AH4" s="13" t="s">
        <v>1</v>
      </c>
      <c r="AI4" s="14" t="s">
        <v>765</v>
      </c>
      <c r="AJ4" s="14" t="s">
        <v>765</v>
      </c>
      <c r="AK4" s="14" t="s">
        <v>765</v>
      </c>
      <c r="AL4" s="14" t="s">
        <v>765</v>
      </c>
      <c r="AM4" s="14" t="s">
        <v>765</v>
      </c>
      <c r="AN4" s="14" t="s">
        <v>2</v>
      </c>
      <c r="AO4" s="15" t="s">
        <v>3</v>
      </c>
    </row>
    <row r="5" spans="2:41" x14ac:dyDescent="0.25">
      <c r="B5" s="36" t="s">
        <v>446</v>
      </c>
      <c r="C5" s="36" t="s">
        <v>672</v>
      </c>
      <c r="D5" s="36" t="s">
        <v>672</v>
      </c>
      <c r="E5" s="36" t="s">
        <v>672</v>
      </c>
      <c r="F5" s="36"/>
      <c r="G5" s="114"/>
      <c r="I5" s="36" t="s">
        <v>670</v>
      </c>
      <c r="J5" s="36" t="s">
        <v>672</v>
      </c>
      <c r="K5" s="36" t="s">
        <v>671</v>
      </c>
      <c r="L5" s="36" t="s">
        <v>673</v>
      </c>
      <c r="M5" s="36"/>
      <c r="N5" s="114"/>
      <c r="P5" s="36" t="s">
        <v>446</v>
      </c>
      <c r="Q5" s="125">
        <v>4000</v>
      </c>
      <c r="R5" s="125">
        <v>3000</v>
      </c>
      <c r="S5" s="125">
        <v>2000</v>
      </c>
      <c r="T5" s="125">
        <v>1000</v>
      </c>
      <c r="U5" s="125">
        <v>0</v>
      </c>
      <c r="V5" s="36"/>
      <c r="W5" s="114"/>
      <c r="Y5" s="36" t="s">
        <v>446</v>
      </c>
      <c r="Z5" s="125">
        <v>4000</v>
      </c>
      <c r="AA5" s="125">
        <v>3000</v>
      </c>
      <c r="AB5" s="125">
        <v>2000</v>
      </c>
      <c r="AC5" s="125">
        <v>1000</v>
      </c>
      <c r="AD5" s="125">
        <v>0</v>
      </c>
      <c r="AE5" s="36"/>
      <c r="AF5" s="114"/>
      <c r="AH5" s="36" t="s">
        <v>446</v>
      </c>
      <c r="AI5" s="125">
        <v>4000</v>
      </c>
      <c r="AJ5" s="125">
        <v>3000</v>
      </c>
      <c r="AK5" s="125">
        <v>2000</v>
      </c>
      <c r="AL5" s="125">
        <v>1000</v>
      </c>
      <c r="AM5" s="125">
        <v>0</v>
      </c>
      <c r="AN5" s="36"/>
      <c r="AO5" s="114"/>
    </row>
    <row r="6" spans="2:41" x14ac:dyDescent="0.25">
      <c r="B6" s="16"/>
      <c r="C6" s="16"/>
      <c r="D6" s="16"/>
      <c r="E6" s="16"/>
      <c r="F6" s="16"/>
      <c r="G6" s="17"/>
      <c r="N6" s="20"/>
      <c r="P6" s="16"/>
      <c r="Q6" s="16"/>
      <c r="R6" s="16"/>
      <c r="S6" s="16"/>
      <c r="T6" s="16"/>
      <c r="U6" s="16"/>
      <c r="V6" s="16"/>
      <c r="W6" s="17"/>
      <c r="Y6" s="16"/>
      <c r="Z6" s="16"/>
      <c r="AA6" s="16"/>
      <c r="AB6" s="16"/>
      <c r="AC6" s="16"/>
      <c r="AD6" s="16"/>
      <c r="AE6" s="16"/>
      <c r="AF6" s="17"/>
      <c r="AH6" s="16"/>
      <c r="AI6" s="16"/>
      <c r="AJ6" s="16"/>
      <c r="AK6" s="16"/>
      <c r="AL6" s="16"/>
      <c r="AM6" s="16"/>
      <c r="AN6" s="16"/>
      <c r="AO6" s="17"/>
    </row>
    <row r="7" spans="2:41" x14ac:dyDescent="0.25">
      <c r="B7" s="183" t="s">
        <v>66</v>
      </c>
      <c r="C7" s="183"/>
      <c r="D7" s="183"/>
      <c r="E7" s="183"/>
      <c r="F7" s="183"/>
      <c r="G7" s="183"/>
      <c r="I7" s="184" t="s">
        <v>66</v>
      </c>
      <c r="J7" s="185"/>
      <c r="K7" s="185"/>
      <c r="L7" s="185"/>
      <c r="M7" s="185"/>
      <c r="N7" s="186"/>
      <c r="P7" s="122" t="s">
        <v>66</v>
      </c>
      <c r="Q7" s="123"/>
      <c r="R7" s="123"/>
      <c r="S7" s="123"/>
      <c r="T7" s="123"/>
      <c r="U7" s="123"/>
      <c r="V7" s="123"/>
      <c r="W7" s="124"/>
      <c r="Y7" s="122" t="s">
        <v>66</v>
      </c>
      <c r="Z7" s="123"/>
      <c r="AA7" s="123"/>
      <c r="AB7" s="123"/>
      <c r="AC7" s="123"/>
      <c r="AD7" s="123"/>
      <c r="AE7" s="123"/>
      <c r="AF7" s="124"/>
      <c r="AH7" s="122" t="s">
        <v>66</v>
      </c>
      <c r="AI7" s="123"/>
      <c r="AJ7" s="123"/>
      <c r="AK7" s="123"/>
      <c r="AL7" s="123"/>
      <c r="AM7" s="123"/>
      <c r="AN7" s="123"/>
      <c r="AO7" s="124"/>
    </row>
    <row r="8" spans="2:41" x14ac:dyDescent="0.25">
      <c r="B8" s="174" t="s">
        <v>252</v>
      </c>
      <c r="C8" s="174"/>
      <c r="D8" s="174"/>
      <c r="E8" s="174"/>
      <c r="F8" s="174"/>
      <c r="G8" s="174"/>
      <c r="I8" s="174" t="s">
        <v>79</v>
      </c>
      <c r="J8" s="174"/>
      <c r="K8" s="174"/>
      <c r="L8" s="174"/>
      <c r="M8" s="174"/>
      <c r="N8" s="174"/>
      <c r="P8" s="165" t="s">
        <v>79</v>
      </c>
      <c r="Q8" s="166"/>
      <c r="R8" s="166"/>
      <c r="S8" s="166"/>
      <c r="T8" s="166"/>
      <c r="U8" s="166"/>
      <c r="V8" s="166"/>
      <c r="W8" s="167"/>
      <c r="Y8" s="165" t="s">
        <v>79</v>
      </c>
      <c r="Z8" s="166"/>
      <c r="AA8" s="166"/>
      <c r="AB8" s="166"/>
      <c r="AC8" s="166"/>
      <c r="AD8" s="166"/>
      <c r="AE8" s="166"/>
      <c r="AF8" s="167"/>
      <c r="AH8" s="165" t="s">
        <v>79</v>
      </c>
      <c r="AI8" s="166"/>
      <c r="AJ8" s="166"/>
      <c r="AK8" s="166"/>
      <c r="AL8" s="166"/>
      <c r="AM8" s="166"/>
      <c r="AN8" s="166"/>
      <c r="AO8" s="167"/>
    </row>
    <row r="9" spans="2:41" x14ac:dyDescent="0.25">
      <c r="B9" s="2" t="s">
        <v>253</v>
      </c>
      <c r="C9" s="2">
        <v>1000</v>
      </c>
      <c r="D9" s="2">
        <v>1000</v>
      </c>
      <c r="E9" s="2">
        <v>1000</v>
      </c>
      <c r="F9" s="2" t="s">
        <v>41</v>
      </c>
      <c r="G9" s="2" t="s">
        <v>255</v>
      </c>
      <c r="I9" s="12" t="s">
        <v>253</v>
      </c>
      <c r="J9" s="12">
        <f>C9</f>
        <v>1000</v>
      </c>
      <c r="K9" s="12">
        <f>D9</f>
        <v>1000</v>
      </c>
      <c r="L9" s="12">
        <f t="shared" ref="L9" si="0">E9</f>
        <v>1000</v>
      </c>
      <c r="M9" s="12" t="s">
        <v>41</v>
      </c>
      <c r="N9" s="12" t="s">
        <v>261</v>
      </c>
      <c r="P9" s="12" t="s">
        <v>253</v>
      </c>
      <c r="Q9" s="12">
        <f>$C$9</f>
        <v>1000</v>
      </c>
      <c r="R9" s="12">
        <f t="shared" ref="R9:U9" si="1">$C$9</f>
        <v>1000</v>
      </c>
      <c r="S9" s="12">
        <f t="shared" si="1"/>
        <v>1000</v>
      </c>
      <c r="T9" s="12">
        <f t="shared" si="1"/>
        <v>1000</v>
      </c>
      <c r="U9" s="12">
        <f t="shared" si="1"/>
        <v>1000</v>
      </c>
      <c r="V9" s="12" t="s">
        <v>41</v>
      </c>
      <c r="W9" s="12" t="s">
        <v>261</v>
      </c>
      <c r="Y9" s="12" t="s">
        <v>253</v>
      </c>
      <c r="Z9" s="12">
        <f>$C$9</f>
        <v>1000</v>
      </c>
      <c r="AA9" s="12">
        <f t="shared" ref="AA9:AD9" si="2">$C$9</f>
        <v>1000</v>
      </c>
      <c r="AB9" s="12">
        <f t="shared" si="2"/>
        <v>1000</v>
      </c>
      <c r="AC9" s="12">
        <f t="shared" si="2"/>
        <v>1000</v>
      </c>
      <c r="AD9" s="12">
        <f t="shared" si="2"/>
        <v>1000</v>
      </c>
      <c r="AE9" s="12" t="s">
        <v>41</v>
      </c>
      <c r="AF9" s="12" t="s">
        <v>261</v>
      </c>
      <c r="AH9" s="12" t="s">
        <v>253</v>
      </c>
      <c r="AI9" s="12">
        <f>$C$9</f>
        <v>1000</v>
      </c>
      <c r="AJ9" s="12">
        <f t="shared" ref="AJ9:AM9" si="3">$C$9</f>
        <v>1000</v>
      </c>
      <c r="AK9" s="12">
        <f t="shared" si="3"/>
        <v>1000</v>
      </c>
      <c r="AL9" s="12">
        <f t="shared" si="3"/>
        <v>1000</v>
      </c>
      <c r="AM9" s="12">
        <f t="shared" si="3"/>
        <v>1000</v>
      </c>
      <c r="AN9" s="12" t="s">
        <v>41</v>
      </c>
      <c r="AO9" s="12" t="s">
        <v>261</v>
      </c>
    </row>
    <row r="10" spans="2:41" x14ac:dyDescent="0.25">
      <c r="B10" s="12" t="s">
        <v>254</v>
      </c>
      <c r="C10" s="12">
        <f>C9*IF($F$9="GW",1000000000,IF($F$9="MW",1000000,IF($F$9="kW",1000,IF($F$9="W",1,"ERROR"))))</f>
        <v>1000000000</v>
      </c>
      <c r="D10" s="12">
        <f t="shared" ref="D10:E10" si="4">D9*IF($F$9="GW",1000000000,IF($F$9="MW",1000000,IF($F$9="kW",1000,IF($F$9="W",1,"ERROR"))))</f>
        <v>1000000000</v>
      </c>
      <c r="E10" s="12">
        <f t="shared" si="4"/>
        <v>1000000000</v>
      </c>
      <c r="F10" s="12" t="s">
        <v>5</v>
      </c>
      <c r="G10" s="12"/>
      <c r="I10" s="12" t="s">
        <v>254</v>
      </c>
      <c r="J10" s="12">
        <f>J9*IF($M$9="GW",1000000000,IF($M$9="MW",1000000,IF($M$9="kW",1000,IF($M$9="W",1,"ERROR"))))</f>
        <v>1000000000</v>
      </c>
      <c r="K10" s="12">
        <f t="shared" ref="K10:L10" si="5">K9*IF($M$9="GW",1000000000,IF($M$9="MW",1000000,IF($M$9="kW",1000,IF($M$9="W",1,"ERROR"))))</f>
        <v>1000000000</v>
      </c>
      <c r="L10" s="12">
        <f t="shared" si="5"/>
        <v>1000000000</v>
      </c>
      <c r="M10" s="12" t="s">
        <v>5</v>
      </c>
      <c r="N10" s="12"/>
      <c r="P10" s="12" t="s">
        <v>254</v>
      </c>
      <c r="Q10" s="12">
        <f>Q9*IF($M$9="GW",1000000000,IF($M$9="MW",1000000,IF($M$9="kW",1000,IF($M$9="W",1,"ERROR"))))</f>
        <v>1000000000</v>
      </c>
      <c r="R10" s="12">
        <f>R9*IF($M$9="GW",1000000000,IF($M$9="MW",1000000,IF($M$9="kW",1000,IF($M$9="W",1,"ERROR"))))</f>
        <v>1000000000</v>
      </c>
      <c r="S10" s="12">
        <f>S9*IF($M$9="GW",1000000000,IF($M$9="MW",1000000,IF($M$9="kW",1000,IF($M$9="W",1,"ERROR"))))</f>
        <v>1000000000</v>
      </c>
      <c r="T10" s="12">
        <f>T9*IF($M$9="GW",1000000000,IF($M$9="MW",1000000,IF($M$9="kW",1000,IF($M$9="W",1,"ERROR"))))</f>
        <v>1000000000</v>
      </c>
      <c r="U10" s="12">
        <f>U9*IF($M$9="GW",1000000000,IF($M$9="MW",1000000,IF($M$9="kW",1000,IF($M$9="W",1,"ERROR"))))</f>
        <v>1000000000</v>
      </c>
      <c r="V10" s="12" t="s">
        <v>5</v>
      </c>
      <c r="W10" s="12"/>
      <c r="Y10" s="12" t="s">
        <v>254</v>
      </c>
      <c r="Z10" s="12">
        <f>Z9*IF($M$9="GW",1000000000,IF($M$9="MW",1000000,IF($M$9="kW",1000,IF($M$9="W",1,"ERROR"))))</f>
        <v>1000000000</v>
      </c>
      <c r="AA10" s="12">
        <f>AA9*IF($M$9="GW",1000000000,IF($M$9="MW",1000000,IF($M$9="kW",1000,IF($M$9="W",1,"ERROR"))))</f>
        <v>1000000000</v>
      </c>
      <c r="AB10" s="12">
        <f>AB9*IF($M$9="GW",1000000000,IF($M$9="MW",1000000,IF($M$9="kW",1000,IF($M$9="W",1,"ERROR"))))</f>
        <v>1000000000</v>
      </c>
      <c r="AC10" s="12">
        <f>AC9*IF($M$9="GW",1000000000,IF($M$9="MW",1000000,IF($M$9="kW",1000,IF($M$9="W",1,"ERROR"))))</f>
        <v>1000000000</v>
      </c>
      <c r="AD10" s="12">
        <f>AD9*IF($M$9="GW",1000000000,IF($M$9="MW",1000000,IF($M$9="kW",1000,IF($M$9="W",1,"ERROR"))))</f>
        <v>1000000000</v>
      </c>
      <c r="AE10" s="12" t="s">
        <v>5</v>
      </c>
      <c r="AF10" s="12"/>
      <c r="AH10" s="12" t="s">
        <v>254</v>
      </c>
      <c r="AI10" s="12">
        <f>AI9*IF($M$9="GW",1000000000,IF($M$9="MW",1000000,IF($M$9="kW",1000,IF($M$9="W",1,"ERROR"))))</f>
        <v>1000000000</v>
      </c>
      <c r="AJ10" s="12">
        <f>AJ9*IF($M$9="GW",1000000000,IF($M$9="MW",1000000,IF($M$9="kW",1000,IF($M$9="W",1,"ERROR"))))</f>
        <v>1000000000</v>
      </c>
      <c r="AK10" s="12">
        <f>AK9*IF($M$9="GW",1000000000,IF($M$9="MW",1000000,IF($M$9="kW",1000,IF($M$9="W",1,"ERROR"))))</f>
        <v>1000000000</v>
      </c>
      <c r="AL10" s="12">
        <f>AL9*IF($M$9="GW",1000000000,IF($M$9="MW",1000000,IF($M$9="kW",1000,IF($M$9="W",1,"ERROR"))))</f>
        <v>1000000000</v>
      </c>
      <c r="AM10" s="12">
        <f>AM9*IF($M$9="GW",1000000000,IF($M$9="MW",1000000,IF($M$9="kW",1000,IF($M$9="W",1,"ERROR"))))</f>
        <v>1000000000</v>
      </c>
      <c r="AN10" s="12" t="s">
        <v>5</v>
      </c>
      <c r="AO10" s="12"/>
    </row>
    <row r="11" spans="2:41" x14ac:dyDescent="0.25">
      <c r="B11" s="37"/>
      <c r="C11" s="37"/>
      <c r="D11" s="37"/>
      <c r="E11" s="37"/>
      <c r="F11" s="37"/>
      <c r="G11" s="37"/>
      <c r="I11" s="37"/>
      <c r="J11" s="37"/>
      <c r="K11" s="37"/>
      <c r="L11" s="37"/>
      <c r="M11" s="37"/>
      <c r="N11" s="37"/>
      <c r="P11" s="37"/>
      <c r="Q11" s="37"/>
      <c r="R11" s="37"/>
      <c r="S11" s="37"/>
      <c r="T11" s="37"/>
      <c r="U11" s="37"/>
      <c r="V11" s="37"/>
      <c r="W11" s="37"/>
      <c r="Y11" s="37"/>
      <c r="Z11" s="37"/>
      <c r="AA11" s="37"/>
      <c r="AB11" s="37"/>
      <c r="AC11" s="37"/>
      <c r="AD11" s="37"/>
      <c r="AE11" s="37"/>
      <c r="AF11" s="37"/>
      <c r="AH11" s="37"/>
      <c r="AI11" s="37"/>
      <c r="AJ11" s="37"/>
      <c r="AK11" s="37"/>
      <c r="AL11" s="37"/>
      <c r="AM11" s="37"/>
      <c r="AN11" s="37"/>
      <c r="AO11" s="37"/>
    </row>
    <row r="12" spans="2:41" x14ac:dyDescent="0.25">
      <c r="B12" s="174" t="s">
        <v>78</v>
      </c>
      <c r="C12" s="174"/>
      <c r="D12" s="174"/>
      <c r="E12" s="174"/>
      <c r="F12" s="174"/>
      <c r="G12" s="174"/>
      <c r="I12" s="174" t="s">
        <v>78</v>
      </c>
      <c r="J12" s="174"/>
      <c r="K12" s="174"/>
      <c r="L12" s="174"/>
      <c r="M12" s="174"/>
      <c r="N12" s="174"/>
      <c r="P12" s="165" t="s">
        <v>78</v>
      </c>
      <c r="Q12" s="166"/>
      <c r="R12" s="166"/>
      <c r="S12" s="166"/>
      <c r="T12" s="166"/>
      <c r="U12" s="166"/>
      <c r="V12" s="166"/>
      <c r="W12" s="167"/>
      <c r="Y12" s="165" t="s">
        <v>78</v>
      </c>
      <c r="Z12" s="166"/>
      <c r="AA12" s="166"/>
      <c r="AB12" s="166"/>
      <c r="AC12" s="166"/>
      <c r="AD12" s="166"/>
      <c r="AE12" s="166"/>
      <c r="AF12" s="167"/>
      <c r="AH12" s="165" t="s">
        <v>78</v>
      </c>
      <c r="AI12" s="166"/>
      <c r="AJ12" s="166"/>
      <c r="AK12" s="166"/>
      <c r="AL12" s="166"/>
      <c r="AM12" s="166"/>
      <c r="AN12" s="166"/>
      <c r="AO12" s="167"/>
    </row>
    <row r="13" spans="2:41" x14ac:dyDescent="0.25">
      <c r="B13" s="59" t="s">
        <v>80</v>
      </c>
      <c r="C13" s="8">
        <f>'TDC Metrics'!D7</f>
        <v>1.3</v>
      </c>
      <c r="D13" s="8">
        <f>'TDC Metrics'!E7</f>
        <v>1.1000000000000001</v>
      </c>
      <c r="E13" s="8">
        <f>'TDC Metrics'!F7</f>
        <v>1.05</v>
      </c>
      <c r="F13" s="2"/>
      <c r="G13" s="2" t="s">
        <v>81</v>
      </c>
      <c r="I13" s="2" t="s">
        <v>75</v>
      </c>
      <c r="J13" s="6">
        <f>'ODC Metrics'!$F$7</f>
        <v>50</v>
      </c>
      <c r="K13" s="6">
        <f>'ODC Metrics'!G7</f>
        <v>29.62</v>
      </c>
      <c r="L13" s="6">
        <f>'ODC Metrics'!H7</f>
        <v>15</v>
      </c>
      <c r="M13" s="2" t="s">
        <v>14</v>
      </c>
      <c r="N13" s="5"/>
      <c r="P13" s="2" t="s">
        <v>75</v>
      </c>
      <c r="Q13" s="6">
        <f>'ODC Metrics'!$F$7</f>
        <v>50</v>
      </c>
      <c r="R13" s="6">
        <f>'ODC Metrics'!$F$7</f>
        <v>50</v>
      </c>
      <c r="S13" s="6">
        <f>'ODC Metrics'!$F$7</f>
        <v>50</v>
      </c>
      <c r="T13" s="6">
        <f>'ODC Metrics'!$F$7</f>
        <v>50</v>
      </c>
      <c r="U13" s="6">
        <f>'ODC Metrics'!$F$7</f>
        <v>50</v>
      </c>
      <c r="V13" s="2" t="s">
        <v>14</v>
      </c>
      <c r="W13" s="5"/>
      <c r="Y13" s="2" t="s">
        <v>75</v>
      </c>
      <c r="Z13" s="6">
        <f>'ODC Metrics'!$G$7</f>
        <v>29.62</v>
      </c>
      <c r="AA13" s="6">
        <f>'ODC Metrics'!$G$7</f>
        <v>29.62</v>
      </c>
      <c r="AB13" s="6">
        <f>'ODC Metrics'!$G$7</f>
        <v>29.62</v>
      </c>
      <c r="AC13" s="6">
        <f>'ODC Metrics'!$G$7</f>
        <v>29.62</v>
      </c>
      <c r="AD13" s="6">
        <f>'ODC Metrics'!$G$7</f>
        <v>29.62</v>
      </c>
      <c r="AE13" s="2" t="s">
        <v>14</v>
      </c>
      <c r="AF13" s="5"/>
      <c r="AH13" s="2" t="s">
        <v>75</v>
      </c>
      <c r="AI13" s="6">
        <f>'ODC Metrics'!$H$7</f>
        <v>15</v>
      </c>
      <c r="AJ13" s="6">
        <f>'ODC Metrics'!$H$7</f>
        <v>15</v>
      </c>
      <c r="AK13" s="6">
        <f>'ODC Metrics'!$H$7</f>
        <v>15</v>
      </c>
      <c r="AL13" s="6">
        <f>'ODC Metrics'!$H$7</f>
        <v>15</v>
      </c>
      <c r="AM13" s="6">
        <f>'ODC Metrics'!$H$7</f>
        <v>15</v>
      </c>
      <c r="AN13" s="2" t="s">
        <v>14</v>
      </c>
      <c r="AO13" s="5"/>
    </row>
    <row r="14" spans="2:41" x14ac:dyDescent="0.25">
      <c r="B14" s="2" t="s">
        <v>302</v>
      </c>
      <c r="C14" s="6">
        <f>'TDC Metrics'!D8</f>
        <v>0.06</v>
      </c>
      <c r="D14" s="6">
        <f>'TDC Metrics'!E8</f>
        <v>0.08</v>
      </c>
      <c r="E14" s="6">
        <f>'TDC Metrics'!F8</f>
        <v>0.1</v>
      </c>
      <c r="F14" s="2" t="s">
        <v>7</v>
      </c>
      <c r="G14" s="2"/>
      <c r="I14" s="2" t="s">
        <v>76</v>
      </c>
      <c r="J14" s="94">
        <f>'ODC Metrics'!$F$8</f>
        <v>1.0416666666666666E-2</v>
      </c>
      <c r="K14" s="94">
        <f>'ODC Metrics'!G8</f>
        <v>3.3003300330033004E-3</v>
      </c>
      <c r="L14" s="94">
        <f>'ODC Metrics'!H8</f>
        <v>3.3333333333333332E-4</v>
      </c>
      <c r="M14" s="2" t="s">
        <v>15</v>
      </c>
      <c r="N14" s="5"/>
      <c r="P14" s="2" t="s">
        <v>76</v>
      </c>
      <c r="Q14" s="94">
        <f>'ODC Metrics'!$F$8</f>
        <v>1.0416666666666666E-2</v>
      </c>
      <c r="R14" s="94">
        <f>'ODC Metrics'!$F$8</f>
        <v>1.0416666666666666E-2</v>
      </c>
      <c r="S14" s="94">
        <f>'ODC Metrics'!$F$8</f>
        <v>1.0416666666666666E-2</v>
      </c>
      <c r="T14" s="94">
        <f>'ODC Metrics'!$F$8</f>
        <v>1.0416666666666666E-2</v>
      </c>
      <c r="U14" s="94">
        <f>'ODC Metrics'!$F$8</f>
        <v>1.0416666666666666E-2</v>
      </c>
      <c r="V14" s="2" t="s">
        <v>15</v>
      </c>
      <c r="W14" s="5"/>
      <c r="Y14" s="2" t="s">
        <v>76</v>
      </c>
      <c r="Z14" s="94">
        <f>'ODC Metrics'!$G$8</f>
        <v>3.3003300330033004E-3</v>
      </c>
      <c r="AA14" s="94">
        <f>'ODC Metrics'!$G$8</f>
        <v>3.3003300330033004E-3</v>
      </c>
      <c r="AB14" s="94">
        <f>'ODC Metrics'!$G$8</f>
        <v>3.3003300330033004E-3</v>
      </c>
      <c r="AC14" s="94">
        <f>'ODC Metrics'!$G$8</f>
        <v>3.3003300330033004E-3</v>
      </c>
      <c r="AD14" s="94">
        <f>'ODC Metrics'!$G$8</f>
        <v>3.3003300330033004E-3</v>
      </c>
      <c r="AE14" s="2" t="s">
        <v>15</v>
      </c>
      <c r="AF14" s="5"/>
      <c r="AH14" s="2" t="s">
        <v>76</v>
      </c>
      <c r="AI14" s="94">
        <f>'ODC Metrics'!$H$8</f>
        <v>3.3333333333333332E-4</v>
      </c>
      <c r="AJ14" s="94">
        <f>'ODC Metrics'!$H$8</f>
        <v>3.3333333333333332E-4</v>
      </c>
      <c r="AK14" s="94">
        <f>'ODC Metrics'!$H$8</f>
        <v>3.3333333333333332E-4</v>
      </c>
      <c r="AL14" s="94">
        <f>'ODC Metrics'!$H$8</f>
        <v>3.3333333333333332E-4</v>
      </c>
      <c r="AM14" s="94">
        <f>'ODC Metrics'!$H$8</f>
        <v>3.3333333333333332E-4</v>
      </c>
      <c r="AN14" s="2" t="s">
        <v>15</v>
      </c>
      <c r="AO14" s="5"/>
    </row>
    <row r="15" spans="2:41" x14ac:dyDescent="0.25">
      <c r="B15" s="12" t="s">
        <v>256</v>
      </c>
      <c r="C15" s="18">
        <f>C10*C13</f>
        <v>1300000000</v>
      </c>
      <c r="D15" s="18">
        <f>D10*D13</f>
        <v>1100000000</v>
      </c>
      <c r="E15" s="18">
        <f t="shared" ref="E15" si="6">E10*E13</f>
        <v>1050000000</v>
      </c>
      <c r="F15" s="12" t="s">
        <v>5</v>
      </c>
      <c r="G15" s="12" t="s">
        <v>257</v>
      </c>
      <c r="I15" s="33" t="s">
        <v>105</v>
      </c>
      <c r="J15" s="50">
        <f>J13*J10</f>
        <v>50000000000</v>
      </c>
      <c r="K15" s="50">
        <f>K13*K10</f>
        <v>29620000000</v>
      </c>
      <c r="L15" s="50">
        <f>L13*L10</f>
        <v>15000000000</v>
      </c>
      <c r="M15" s="33" t="s">
        <v>6</v>
      </c>
      <c r="N15" s="51"/>
      <c r="P15" s="33" t="s">
        <v>105</v>
      </c>
      <c r="Q15" s="50">
        <f>Q13*Q10</f>
        <v>50000000000</v>
      </c>
      <c r="R15" s="50">
        <f>R13*R10</f>
        <v>50000000000</v>
      </c>
      <c r="S15" s="50">
        <f>S13*S10</f>
        <v>50000000000</v>
      </c>
      <c r="T15" s="50">
        <f>T13*T10</f>
        <v>50000000000</v>
      </c>
      <c r="U15" s="50">
        <f>U13*U10</f>
        <v>50000000000</v>
      </c>
      <c r="V15" s="33" t="s">
        <v>6</v>
      </c>
      <c r="W15" s="51"/>
      <c r="Y15" s="33" t="s">
        <v>105</v>
      </c>
      <c r="Z15" s="50">
        <f>Z13*Z10</f>
        <v>29620000000</v>
      </c>
      <c r="AA15" s="50">
        <f t="shared" ref="AA15:AD15" si="7">AA13*AA10</f>
        <v>29620000000</v>
      </c>
      <c r="AB15" s="50">
        <f t="shared" si="7"/>
        <v>29620000000</v>
      </c>
      <c r="AC15" s="50">
        <f t="shared" si="7"/>
        <v>29620000000</v>
      </c>
      <c r="AD15" s="50">
        <f t="shared" si="7"/>
        <v>29620000000</v>
      </c>
      <c r="AE15" s="33" t="s">
        <v>6</v>
      </c>
      <c r="AF15" s="51"/>
      <c r="AH15" s="33" t="s">
        <v>105</v>
      </c>
      <c r="AI15" s="50">
        <f>AI13*AI10</f>
        <v>15000000000</v>
      </c>
      <c r="AJ15" s="50">
        <f t="shared" ref="AJ15:AM15" si="8">AJ13*AJ10</f>
        <v>15000000000</v>
      </c>
      <c r="AK15" s="50">
        <f t="shared" si="8"/>
        <v>15000000000</v>
      </c>
      <c r="AL15" s="50">
        <f t="shared" si="8"/>
        <v>15000000000</v>
      </c>
      <c r="AM15" s="50">
        <f t="shared" si="8"/>
        <v>15000000000</v>
      </c>
      <c r="AN15" s="33" t="s">
        <v>6</v>
      </c>
      <c r="AO15" s="51"/>
    </row>
    <row r="16" spans="2:41" x14ac:dyDescent="0.25">
      <c r="B16" s="12" t="s">
        <v>114</v>
      </c>
      <c r="C16" s="18">
        <f>C25*C15</f>
        <v>1040000000</v>
      </c>
      <c r="D16" s="18">
        <f>D25*D15</f>
        <v>880000000</v>
      </c>
      <c r="E16" s="18">
        <f>E25*E15</f>
        <v>840000000</v>
      </c>
      <c r="F16" s="12" t="s">
        <v>5</v>
      </c>
      <c r="G16" s="21" t="s">
        <v>258</v>
      </c>
      <c r="I16" s="12" t="s">
        <v>817</v>
      </c>
      <c r="J16" s="18">
        <f>J10*J14</f>
        <v>10416666.666666666</v>
      </c>
      <c r="K16" s="18">
        <f t="shared" ref="K16:L16" si="9">K10*K14</f>
        <v>3300330.0330033004</v>
      </c>
      <c r="L16" s="18">
        <f t="shared" si="9"/>
        <v>333333.33333333331</v>
      </c>
      <c r="M16" s="12" t="s">
        <v>8</v>
      </c>
      <c r="N16" s="12"/>
      <c r="P16" s="12" t="s">
        <v>817</v>
      </c>
      <c r="Q16" s="18">
        <f>Q10*Q14</f>
        <v>10416666.666666666</v>
      </c>
      <c r="R16" s="18">
        <f t="shared" ref="R16:U16" si="10">R10*R14</f>
        <v>10416666.666666666</v>
      </c>
      <c r="S16" s="18">
        <f t="shared" si="10"/>
        <v>10416666.666666666</v>
      </c>
      <c r="T16" s="18">
        <f t="shared" si="10"/>
        <v>10416666.666666666</v>
      </c>
      <c r="U16" s="18">
        <f t="shared" si="10"/>
        <v>10416666.666666666</v>
      </c>
      <c r="V16" s="12" t="s">
        <v>8</v>
      </c>
      <c r="W16" s="12"/>
      <c r="Y16" s="12" t="s">
        <v>817</v>
      </c>
      <c r="Z16" s="18">
        <f>Z10*Z14</f>
        <v>3300330.0330033004</v>
      </c>
      <c r="AA16" s="18">
        <f t="shared" ref="AA16:AD16" si="11">AA10*AA14</f>
        <v>3300330.0330033004</v>
      </c>
      <c r="AB16" s="18">
        <f t="shared" si="11"/>
        <v>3300330.0330033004</v>
      </c>
      <c r="AC16" s="18">
        <f t="shared" si="11"/>
        <v>3300330.0330033004</v>
      </c>
      <c r="AD16" s="18">
        <f t="shared" si="11"/>
        <v>3300330.0330033004</v>
      </c>
      <c r="AE16" s="12" t="s">
        <v>8</v>
      </c>
      <c r="AF16" s="12"/>
      <c r="AH16" s="12" t="s">
        <v>817</v>
      </c>
      <c r="AI16" s="18">
        <f>AI10*AI14</f>
        <v>333333.33333333331</v>
      </c>
      <c r="AJ16" s="18">
        <f t="shared" ref="AJ16:AM16" si="12">AJ10*AJ14</f>
        <v>333333.33333333331</v>
      </c>
      <c r="AK16" s="18">
        <f t="shared" si="12"/>
        <v>333333.33333333331</v>
      </c>
      <c r="AL16" s="18">
        <f t="shared" si="12"/>
        <v>333333.33333333331</v>
      </c>
      <c r="AM16" s="18">
        <f t="shared" si="12"/>
        <v>333333.33333333331</v>
      </c>
      <c r="AN16" s="12" t="s">
        <v>8</v>
      </c>
      <c r="AO16" s="12"/>
    </row>
    <row r="17" spans="2:41" x14ac:dyDescent="0.25">
      <c r="B17" s="12" t="s">
        <v>115</v>
      </c>
      <c r="C17" s="18">
        <f>C16*365*24</f>
        <v>9110400000000</v>
      </c>
      <c r="D17" s="18">
        <f>D16*365*24</f>
        <v>7708800000000</v>
      </c>
      <c r="E17" s="18">
        <f t="shared" ref="E17" si="13">E16*365*24</f>
        <v>7358400000000</v>
      </c>
      <c r="F17" s="12" t="s">
        <v>107</v>
      </c>
      <c r="G17" s="12"/>
    </row>
    <row r="18" spans="2:41" x14ac:dyDescent="0.25">
      <c r="B18" s="12" t="s">
        <v>51</v>
      </c>
      <c r="C18" s="22">
        <f>C17*(C14/1000)</f>
        <v>546624000</v>
      </c>
      <c r="D18" s="22">
        <f>D17*(D14/1000)</f>
        <v>616704000</v>
      </c>
      <c r="E18" s="22">
        <f t="shared" ref="E18" si="14">E17*(E14/1000)</f>
        <v>735840000</v>
      </c>
      <c r="F18" s="12" t="s">
        <v>10</v>
      </c>
      <c r="G18" s="33"/>
      <c r="I18" s="16"/>
      <c r="J18" s="126"/>
      <c r="K18" s="148"/>
      <c r="L18" s="71"/>
      <c r="M18" s="16"/>
      <c r="N18" s="17"/>
      <c r="P18" s="16"/>
      <c r="Q18" s="71"/>
      <c r="R18" s="71"/>
      <c r="S18" s="71"/>
      <c r="T18" s="71"/>
      <c r="U18" s="71"/>
      <c r="V18" s="16"/>
      <c r="W18" s="17"/>
      <c r="Y18" s="16"/>
      <c r="Z18" s="71"/>
      <c r="AA18" s="71"/>
      <c r="AB18" s="71"/>
      <c r="AC18" s="71"/>
      <c r="AD18" s="71"/>
      <c r="AE18" s="16"/>
      <c r="AF18" s="17"/>
      <c r="AH18" s="16"/>
      <c r="AI18" s="71"/>
      <c r="AJ18" s="71"/>
      <c r="AK18" s="71"/>
      <c r="AL18" s="71"/>
      <c r="AM18" s="71"/>
      <c r="AN18" s="16"/>
      <c r="AO18" s="17"/>
    </row>
    <row r="19" spans="2:41" x14ac:dyDescent="0.25">
      <c r="B19" s="33" t="s">
        <v>104</v>
      </c>
      <c r="C19" s="35">
        <f>C18</f>
        <v>546624000</v>
      </c>
      <c r="D19" s="35">
        <f>D18</f>
        <v>616704000</v>
      </c>
      <c r="E19" s="35">
        <f t="shared" ref="E19" si="15">E18</f>
        <v>735840000</v>
      </c>
      <c r="F19" s="33" t="s">
        <v>10</v>
      </c>
      <c r="G19" s="72"/>
    </row>
    <row r="21" spans="2:41" x14ac:dyDescent="0.25">
      <c r="B21" s="174" t="s">
        <v>46</v>
      </c>
      <c r="C21" s="174"/>
      <c r="D21" s="174"/>
      <c r="E21" s="174"/>
      <c r="F21" s="174"/>
      <c r="G21" s="174"/>
      <c r="I21" s="174" t="s">
        <v>46</v>
      </c>
      <c r="J21" s="174"/>
      <c r="K21" s="174"/>
      <c r="L21" s="174"/>
      <c r="M21" s="174"/>
      <c r="N21" s="174"/>
      <c r="P21" s="165" t="s">
        <v>46</v>
      </c>
      <c r="Q21" s="166"/>
      <c r="R21" s="166"/>
      <c r="S21" s="166"/>
      <c r="T21" s="166"/>
      <c r="U21" s="166"/>
      <c r="V21" s="166"/>
      <c r="W21" s="167"/>
      <c r="Y21" s="165" t="s">
        <v>46</v>
      </c>
      <c r="Z21" s="166"/>
      <c r="AA21" s="166"/>
      <c r="AB21" s="166"/>
      <c r="AC21" s="166"/>
      <c r="AD21" s="166"/>
      <c r="AE21" s="166"/>
      <c r="AF21" s="167"/>
      <c r="AH21" s="165" t="s">
        <v>46</v>
      </c>
      <c r="AI21" s="166"/>
      <c r="AJ21" s="166"/>
      <c r="AK21" s="166"/>
      <c r="AL21" s="166"/>
      <c r="AM21" s="166"/>
      <c r="AN21" s="166"/>
      <c r="AO21" s="167"/>
    </row>
    <row r="22" spans="2:41" x14ac:dyDescent="0.25">
      <c r="B22" s="59" t="s">
        <v>4</v>
      </c>
      <c r="C22" s="23" t="str">
        <f>'Compute Metrics'!C7</f>
        <v>H100 SXM</v>
      </c>
      <c r="D22" s="23" t="str">
        <f>'Compute Metrics'!D7</f>
        <v>Estimated (5-year)</v>
      </c>
      <c r="E22" s="23" t="str">
        <f>'Compute Metrics'!E7</f>
        <v>Estimated (10-year)</v>
      </c>
      <c r="F22" s="2"/>
      <c r="G22" s="2"/>
      <c r="I22" s="2" t="s">
        <v>35</v>
      </c>
      <c r="J22" s="23" t="str">
        <f>'Compute Metrics'!$C$7</f>
        <v>H100 SXM</v>
      </c>
      <c r="K22" s="23" t="str">
        <f>'Compute Metrics'!D7</f>
        <v>Estimated (5-year)</v>
      </c>
      <c r="L22" s="23" t="str">
        <f>'Compute Metrics'!E7</f>
        <v>Estimated (10-year)</v>
      </c>
      <c r="M22" s="2"/>
      <c r="N22" s="5"/>
      <c r="P22" s="2" t="s">
        <v>35</v>
      </c>
      <c r="Q22" s="23" t="str">
        <f>'Compute Metrics'!$C$7</f>
        <v>H100 SXM</v>
      </c>
      <c r="R22" s="23" t="str">
        <f>'Compute Metrics'!$C$7</f>
        <v>H100 SXM</v>
      </c>
      <c r="S22" s="23" t="str">
        <f>'Compute Metrics'!$C$7</f>
        <v>H100 SXM</v>
      </c>
      <c r="T22" s="23" t="str">
        <f>'Compute Metrics'!$C$7</f>
        <v>H100 SXM</v>
      </c>
      <c r="U22" s="23" t="str">
        <f>'Compute Metrics'!$C$7</f>
        <v>H100 SXM</v>
      </c>
      <c r="V22" s="2"/>
      <c r="W22" s="5"/>
      <c r="Y22" s="2" t="s">
        <v>35</v>
      </c>
      <c r="Z22" s="23" t="str">
        <f>'Compute Metrics'!$D$7</f>
        <v>Estimated (5-year)</v>
      </c>
      <c r="AA22" s="23" t="str">
        <f>'Compute Metrics'!$D$7</f>
        <v>Estimated (5-year)</v>
      </c>
      <c r="AB22" s="23" t="str">
        <f>'Compute Metrics'!$D$7</f>
        <v>Estimated (5-year)</v>
      </c>
      <c r="AC22" s="23" t="str">
        <f>'Compute Metrics'!$D$7</f>
        <v>Estimated (5-year)</v>
      </c>
      <c r="AD22" s="23" t="str">
        <f>'Compute Metrics'!$D$7</f>
        <v>Estimated (5-year)</v>
      </c>
      <c r="AE22" s="2"/>
      <c r="AF22" s="5"/>
      <c r="AH22" s="2" t="s">
        <v>35</v>
      </c>
      <c r="AI22" s="23" t="str">
        <f>'Compute Metrics'!$E$7</f>
        <v>Estimated (10-year)</v>
      </c>
      <c r="AJ22" s="23" t="str">
        <f>'Compute Metrics'!$E$7</f>
        <v>Estimated (10-year)</v>
      </c>
      <c r="AK22" s="23" t="str">
        <f>'Compute Metrics'!$E$7</f>
        <v>Estimated (10-year)</v>
      </c>
      <c r="AL22" s="23" t="str">
        <f>'Compute Metrics'!$E$7</f>
        <v>Estimated (10-year)</v>
      </c>
      <c r="AM22" s="23" t="str">
        <f>'Compute Metrics'!$E$7</f>
        <v>Estimated (10-year)</v>
      </c>
      <c r="AN22" s="2"/>
      <c r="AO22" s="5"/>
    </row>
    <row r="23" spans="2:41" x14ac:dyDescent="0.25">
      <c r="B23" s="59" t="s">
        <v>43</v>
      </c>
      <c r="C23" s="112">
        <f>'Compute Metrics'!C8</f>
        <v>30000</v>
      </c>
      <c r="D23" s="112">
        <f>'Compute Metrics'!D8</f>
        <v>52000</v>
      </c>
      <c r="E23" s="112">
        <f>'Compute Metrics'!E8</f>
        <v>90000</v>
      </c>
      <c r="F23" s="2" t="s">
        <v>47</v>
      </c>
      <c r="G23" s="2"/>
      <c r="I23" s="2" t="s">
        <v>43</v>
      </c>
      <c r="J23" s="42">
        <f>'Compute Metrics'!$C$8</f>
        <v>30000</v>
      </c>
      <c r="K23" s="42">
        <f>'Compute Metrics'!D8</f>
        <v>52000</v>
      </c>
      <c r="L23" s="42">
        <f>'Compute Metrics'!E8</f>
        <v>90000</v>
      </c>
      <c r="M23" s="2" t="s">
        <v>47</v>
      </c>
      <c r="N23" s="5"/>
      <c r="P23" s="2" t="s">
        <v>43</v>
      </c>
      <c r="Q23" s="42">
        <f>'Compute Metrics'!$C$8</f>
        <v>30000</v>
      </c>
      <c r="R23" s="42">
        <f>'Compute Metrics'!$C$8</f>
        <v>30000</v>
      </c>
      <c r="S23" s="42">
        <f>'Compute Metrics'!$C$8</f>
        <v>30000</v>
      </c>
      <c r="T23" s="42">
        <f>'Compute Metrics'!$C$8</f>
        <v>30000</v>
      </c>
      <c r="U23" s="42">
        <f>'Compute Metrics'!$C$8</f>
        <v>30000</v>
      </c>
      <c r="V23" s="2" t="s">
        <v>47</v>
      </c>
      <c r="W23" s="5"/>
      <c r="Y23" s="2" t="s">
        <v>43</v>
      </c>
      <c r="Z23" s="42">
        <f>'Compute Metrics'!$D$8</f>
        <v>52000</v>
      </c>
      <c r="AA23" s="42">
        <f>'Compute Metrics'!$D$8</f>
        <v>52000</v>
      </c>
      <c r="AB23" s="42">
        <f>'Compute Metrics'!$D$8</f>
        <v>52000</v>
      </c>
      <c r="AC23" s="42">
        <f>'Compute Metrics'!$D$8</f>
        <v>52000</v>
      </c>
      <c r="AD23" s="42">
        <f>'Compute Metrics'!$D$8</f>
        <v>52000</v>
      </c>
      <c r="AE23" s="2" t="s">
        <v>47</v>
      </c>
      <c r="AF23" s="5"/>
      <c r="AH23" s="2" t="s">
        <v>43</v>
      </c>
      <c r="AI23" s="42">
        <f>'Compute Metrics'!$E$8</f>
        <v>90000</v>
      </c>
      <c r="AJ23" s="42">
        <f>'Compute Metrics'!$E$8</f>
        <v>90000</v>
      </c>
      <c r="AK23" s="42">
        <f>'Compute Metrics'!$E$8</f>
        <v>90000</v>
      </c>
      <c r="AL23" s="42">
        <f>'Compute Metrics'!$E$8</f>
        <v>90000</v>
      </c>
      <c r="AM23" s="42">
        <f>'Compute Metrics'!$E$8</f>
        <v>90000</v>
      </c>
      <c r="AN23" s="2" t="s">
        <v>47</v>
      </c>
      <c r="AO23" s="5"/>
    </row>
    <row r="24" spans="2:41" x14ac:dyDescent="0.25">
      <c r="B24" s="59" t="s">
        <v>38</v>
      </c>
      <c r="C24" s="49">
        <f>'Compute Metrics'!C9</f>
        <v>700</v>
      </c>
      <c r="D24" s="49">
        <f>'Compute Metrics'!D9</f>
        <v>1050</v>
      </c>
      <c r="E24" s="49">
        <f>'Compute Metrics'!E9</f>
        <v>1580</v>
      </c>
      <c r="F24" s="2" t="s">
        <v>45</v>
      </c>
      <c r="G24" s="2"/>
      <c r="I24" s="2" t="s">
        <v>38</v>
      </c>
      <c r="J24" s="49">
        <f>'Compute Metrics'!$C$9</f>
        <v>700</v>
      </c>
      <c r="K24" s="49">
        <f>'Compute Metrics'!D9</f>
        <v>1050</v>
      </c>
      <c r="L24" s="49">
        <f>'Compute Metrics'!E9</f>
        <v>1580</v>
      </c>
      <c r="M24" s="2" t="s">
        <v>45</v>
      </c>
      <c r="N24" s="5"/>
      <c r="P24" s="2" t="s">
        <v>38</v>
      </c>
      <c r="Q24" s="49">
        <f>'Compute Metrics'!$C$9</f>
        <v>700</v>
      </c>
      <c r="R24" s="49">
        <f>'Compute Metrics'!$C$9</f>
        <v>700</v>
      </c>
      <c r="S24" s="49">
        <f>'Compute Metrics'!$C$9</f>
        <v>700</v>
      </c>
      <c r="T24" s="49">
        <f>'Compute Metrics'!$C$9</f>
        <v>700</v>
      </c>
      <c r="U24" s="49">
        <f>'Compute Metrics'!$C$9</f>
        <v>700</v>
      </c>
      <c r="V24" s="2" t="s">
        <v>45</v>
      </c>
      <c r="W24" s="5"/>
      <c r="Y24" s="2" t="s">
        <v>38</v>
      </c>
      <c r="Z24" s="49">
        <f>'Compute Metrics'!$D$9</f>
        <v>1050</v>
      </c>
      <c r="AA24" s="49">
        <f>'Compute Metrics'!$D$9</f>
        <v>1050</v>
      </c>
      <c r="AB24" s="49">
        <f>'Compute Metrics'!$D$9</f>
        <v>1050</v>
      </c>
      <c r="AC24" s="49">
        <f>'Compute Metrics'!$D$9</f>
        <v>1050</v>
      </c>
      <c r="AD24" s="49">
        <f>'Compute Metrics'!$D$9</f>
        <v>1050</v>
      </c>
      <c r="AE24" s="2" t="s">
        <v>45</v>
      </c>
      <c r="AF24" s="5"/>
      <c r="AH24" s="2" t="s">
        <v>38</v>
      </c>
      <c r="AI24" s="49">
        <f>'Compute Metrics'!$E$9</f>
        <v>1580</v>
      </c>
      <c r="AJ24" s="49">
        <f>'Compute Metrics'!$E$9</f>
        <v>1580</v>
      </c>
      <c r="AK24" s="49">
        <f>'Compute Metrics'!$E$9</f>
        <v>1580</v>
      </c>
      <c r="AL24" s="49">
        <f>'Compute Metrics'!$E$9</f>
        <v>1580</v>
      </c>
      <c r="AM24" s="49">
        <f>'Compute Metrics'!$E$9</f>
        <v>1580</v>
      </c>
      <c r="AN24" s="2" t="s">
        <v>45</v>
      </c>
      <c r="AO24" s="5"/>
    </row>
    <row r="25" spans="2:41" x14ac:dyDescent="0.25">
      <c r="B25" s="59" t="s">
        <v>65</v>
      </c>
      <c r="C25" s="118">
        <f>'Compute Metrics'!C10</f>
        <v>0.8</v>
      </c>
      <c r="D25" s="23">
        <f>'Compute Metrics'!D10</f>
        <v>0.8</v>
      </c>
      <c r="E25" s="23">
        <f>'Compute Metrics'!E10</f>
        <v>0.8</v>
      </c>
      <c r="F25" s="2"/>
      <c r="G25" s="2"/>
      <c r="I25" s="2" t="s">
        <v>65</v>
      </c>
      <c r="J25" s="43">
        <f>'Compute Metrics'!$C$10</f>
        <v>0.8</v>
      </c>
      <c r="K25" s="43">
        <f>'Compute Metrics'!D10</f>
        <v>0.8</v>
      </c>
      <c r="L25" s="43">
        <f>'Compute Metrics'!E10</f>
        <v>0.8</v>
      </c>
      <c r="M25" s="2"/>
      <c r="N25" s="5"/>
      <c r="P25" s="2" t="s">
        <v>65</v>
      </c>
      <c r="Q25" s="43">
        <f>'Compute Metrics'!$C$10</f>
        <v>0.8</v>
      </c>
      <c r="R25" s="43">
        <f>'Compute Metrics'!$C$10</f>
        <v>0.8</v>
      </c>
      <c r="S25" s="43">
        <f>'Compute Metrics'!$C$10</f>
        <v>0.8</v>
      </c>
      <c r="T25" s="43">
        <f>'Compute Metrics'!$C$10</f>
        <v>0.8</v>
      </c>
      <c r="U25" s="43">
        <f>'Compute Metrics'!$C$10</f>
        <v>0.8</v>
      </c>
      <c r="V25" s="2"/>
      <c r="W25" s="5"/>
      <c r="Y25" s="2" t="s">
        <v>65</v>
      </c>
      <c r="Z25" s="43">
        <f>'Compute Metrics'!$D$10</f>
        <v>0.8</v>
      </c>
      <c r="AA25" s="43">
        <f>'Compute Metrics'!$D$10</f>
        <v>0.8</v>
      </c>
      <c r="AB25" s="43">
        <f>'Compute Metrics'!$D$10</f>
        <v>0.8</v>
      </c>
      <c r="AC25" s="43">
        <f>'Compute Metrics'!$D$10</f>
        <v>0.8</v>
      </c>
      <c r="AD25" s="43">
        <f>'Compute Metrics'!$D$10</f>
        <v>0.8</v>
      </c>
      <c r="AE25" s="2"/>
      <c r="AF25" s="5"/>
      <c r="AH25" s="2" t="s">
        <v>65</v>
      </c>
      <c r="AI25" s="43">
        <f>'Compute Metrics'!$E$10</f>
        <v>0.8</v>
      </c>
      <c r="AJ25" s="43">
        <f>'Compute Metrics'!$E$10</f>
        <v>0.8</v>
      </c>
      <c r="AK25" s="43">
        <f>'Compute Metrics'!$E$10</f>
        <v>0.8</v>
      </c>
      <c r="AL25" s="43">
        <f>'Compute Metrics'!$E$10</f>
        <v>0.8</v>
      </c>
      <c r="AM25" s="43">
        <f>'Compute Metrics'!$E$10</f>
        <v>0.8</v>
      </c>
      <c r="AN25" s="2"/>
      <c r="AO25" s="5"/>
    </row>
    <row r="26" spans="2:41" x14ac:dyDescent="0.25">
      <c r="B26" s="59" t="s">
        <v>92</v>
      </c>
      <c r="C26" s="49">
        <f>'Compute Metrics'!C11</f>
        <v>1275</v>
      </c>
      <c r="D26" s="49">
        <f>'Compute Metrics'!D11</f>
        <v>1910</v>
      </c>
      <c r="E26" s="49">
        <f>'Compute Metrics'!E11</f>
        <v>2870</v>
      </c>
      <c r="F26" s="2" t="s">
        <v>45</v>
      </c>
      <c r="G26" s="2"/>
      <c r="I26" s="2" t="s">
        <v>92</v>
      </c>
      <c r="J26" s="49">
        <f>'Compute Metrics'!$C$11</f>
        <v>1275</v>
      </c>
      <c r="K26" s="49">
        <f>'Compute Metrics'!D11</f>
        <v>1910</v>
      </c>
      <c r="L26" s="49">
        <f>'Compute Metrics'!E11</f>
        <v>2870</v>
      </c>
      <c r="M26" s="2" t="s">
        <v>45</v>
      </c>
      <c r="N26" s="2"/>
      <c r="P26" s="2" t="s">
        <v>92</v>
      </c>
      <c r="Q26" s="49">
        <f>'Compute Metrics'!$C$11</f>
        <v>1275</v>
      </c>
      <c r="R26" s="49">
        <f>'Compute Metrics'!$C$11</f>
        <v>1275</v>
      </c>
      <c r="S26" s="49">
        <f>'Compute Metrics'!$C$11</f>
        <v>1275</v>
      </c>
      <c r="T26" s="49">
        <f>'Compute Metrics'!$C$11</f>
        <v>1275</v>
      </c>
      <c r="U26" s="49">
        <f>'Compute Metrics'!$C$11</f>
        <v>1275</v>
      </c>
      <c r="V26" s="2" t="s">
        <v>45</v>
      </c>
      <c r="W26" s="2"/>
      <c r="Y26" s="2" t="s">
        <v>92</v>
      </c>
      <c r="Z26" s="49">
        <f>'Compute Metrics'!$D$11</f>
        <v>1910</v>
      </c>
      <c r="AA26" s="49">
        <f>'Compute Metrics'!$D$11</f>
        <v>1910</v>
      </c>
      <c r="AB26" s="49">
        <f>'Compute Metrics'!$D$11</f>
        <v>1910</v>
      </c>
      <c r="AC26" s="49">
        <f>'Compute Metrics'!$D$11</f>
        <v>1910</v>
      </c>
      <c r="AD26" s="49">
        <f>'Compute Metrics'!$D$11</f>
        <v>1910</v>
      </c>
      <c r="AE26" s="2" t="s">
        <v>45</v>
      </c>
      <c r="AF26" s="2"/>
      <c r="AH26" s="2" t="s">
        <v>92</v>
      </c>
      <c r="AI26" s="49">
        <f>'Compute Metrics'!$E$11</f>
        <v>2870</v>
      </c>
      <c r="AJ26" s="49">
        <f>'Compute Metrics'!$E$11</f>
        <v>2870</v>
      </c>
      <c r="AK26" s="49">
        <f>'Compute Metrics'!$E$11</f>
        <v>2870</v>
      </c>
      <c r="AL26" s="49">
        <f>'Compute Metrics'!$E$11</f>
        <v>2870</v>
      </c>
      <c r="AM26" s="49">
        <f>'Compute Metrics'!$E$11</f>
        <v>2870</v>
      </c>
      <c r="AN26" s="2" t="s">
        <v>45</v>
      </c>
      <c r="AO26" s="2"/>
    </row>
    <row r="27" spans="2:41" x14ac:dyDescent="0.25">
      <c r="B27" s="59" t="s">
        <v>125</v>
      </c>
      <c r="C27" s="91">
        <f>'Compute Metrics'!C12</f>
        <v>1979</v>
      </c>
      <c r="D27" s="91">
        <f>'Compute Metrics'!D12</f>
        <v>8400</v>
      </c>
      <c r="E27" s="91">
        <f>'Compute Metrics'!E12</f>
        <v>35600</v>
      </c>
      <c r="F27" s="2" t="s">
        <v>126</v>
      </c>
      <c r="G27" s="2"/>
      <c r="I27" s="2" t="s">
        <v>669</v>
      </c>
      <c r="J27" s="91">
        <f>'Compute Metrics'!$C$12</f>
        <v>1979</v>
      </c>
      <c r="K27" s="91">
        <f>'Compute Metrics'!D12</f>
        <v>8400</v>
      </c>
      <c r="L27" s="91">
        <f>'Compute Metrics'!E12</f>
        <v>35600</v>
      </c>
      <c r="M27" s="2" t="s">
        <v>126</v>
      </c>
      <c r="N27" s="2"/>
      <c r="P27" s="2" t="s">
        <v>669</v>
      </c>
      <c r="Q27" s="91">
        <f>'Compute Metrics'!$C$12</f>
        <v>1979</v>
      </c>
      <c r="R27" s="91">
        <f>'Compute Metrics'!$C$12</f>
        <v>1979</v>
      </c>
      <c r="S27" s="91">
        <f>'Compute Metrics'!$C$12</f>
        <v>1979</v>
      </c>
      <c r="T27" s="91">
        <f>'Compute Metrics'!$C$12</f>
        <v>1979</v>
      </c>
      <c r="U27" s="91">
        <f>'Compute Metrics'!$C$12</f>
        <v>1979</v>
      </c>
      <c r="V27" s="2" t="s">
        <v>126</v>
      </c>
      <c r="W27" s="2"/>
      <c r="Y27" s="2" t="s">
        <v>669</v>
      </c>
      <c r="Z27" s="91">
        <f>'Compute Metrics'!$D$12</f>
        <v>8400</v>
      </c>
      <c r="AA27" s="91">
        <f>'Compute Metrics'!$D$12</f>
        <v>8400</v>
      </c>
      <c r="AB27" s="91">
        <f>'Compute Metrics'!$D$12</f>
        <v>8400</v>
      </c>
      <c r="AC27" s="91">
        <f>'Compute Metrics'!$D$12</f>
        <v>8400</v>
      </c>
      <c r="AD27" s="91">
        <f>'Compute Metrics'!$D$12</f>
        <v>8400</v>
      </c>
      <c r="AE27" s="2" t="s">
        <v>126</v>
      </c>
      <c r="AF27" s="2"/>
      <c r="AH27" s="2" t="s">
        <v>669</v>
      </c>
      <c r="AI27" s="91">
        <f>'Compute Metrics'!$E$12</f>
        <v>35600</v>
      </c>
      <c r="AJ27" s="91">
        <f>'Compute Metrics'!$E$12</f>
        <v>35600</v>
      </c>
      <c r="AK27" s="91">
        <f>'Compute Metrics'!$E$12</f>
        <v>35600</v>
      </c>
      <c r="AL27" s="91">
        <f>'Compute Metrics'!$E$12</f>
        <v>35600</v>
      </c>
      <c r="AM27" s="91">
        <f>'Compute Metrics'!$E$12</f>
        <v>35600</v>
      </c>
      <c r="AN27" s="2" t="s">
        <v>126</v>
      </c>
      <c r="AO27" s="2"/>
    </row>
    <row r="28" spans="2:41" x14ac:dyDescent="0.25">
      <c r="B28" s="59" t="s">
        <v>62</v>
      </c>
      <c r="C28" s="44">
        <f>'Compute Metrics'!C13</f>
        <v>8.0000000000000002E-3</v>
      </c>
      <c r="D28" s="44">
        <f>'Compute Metrics'!D13</f>
        <v>8.0000000000000002E-3</v>
      </c>
      <c r="E28" s="44">
        <f>'Compute Metrics'!E13</f>
        <v>8.0000000000000002E-3</v>
      </c>
      <c r="F28" s="2" t="s">
        <v>98</v>
      </c>
      <c r="G28" s="2"/>
      <c r="I28" s="2" t="s">
        <v>62</v>
      </c>
      <c r="J28" s="44">
        <f>'Compute Metrics'!$C$13</f>
        <v>8.0000000000000002E-3</v>
      </c>
      <c r="K28" s="44">
        <f>'Compute Metrics'!D13</f>
        <v>8.0000000000000002E-3</v>
      </c>
      <c r="L28" s="44">
        <f>'Compute Metrics'!E13</f>
        <v>8.0000000000000002E-3</v>
      </c>
      <c r="M28" s="2" t="s">
        <v>98</v>
      </c>
      <c r="N28" s="2"/>
      <c r="P28" s="2" t="s">
        <v>62</v>
      </c>
      <c r="Q28" s="44">
        <f>'Compute Metrics'!$C$13</f>
        <v>8.0000000000000002E-3</v>
      </c>
      <c r="R28" s="44">
        <f>'Compute Metrics'!$C$13</f>
        <v>8.0000000000000002E-3</v>
      </c>
      <c r="S28" s="44">
        <f>'Compute Metrics'!$C$13</f>
        <v>8.0000000000000002E-3</v>
      </c>
      <c r="T28" s="44">
        <f>'Compute Metrics'!$C$13</f>
        <v>8.0000000000000002E-3</v>
      </c>
      <c r="U28" s="44">
        <f>'Compute Metrics'!$C$13</f>
        <v>8.0000000000000002E-3</v>
      </c>
      <c r="V28" s="2" t="s">
        <v>98</v>
      </c>
      <c r="W28" s="2"/>
      <c r="Y28" s="2" t="s">
        <v>62</v>
      </c>
      <c r="Z28" s="44">
        <f>'Compute Metrics'!$D$13</f>
        <v>8.0000000000000002E-3</v>
      </c>
      <c r="AA28" s="44">
        <f>'Compute Metrics'!$D$13</f>
        <v>8.0000000000000002E-3</v>
      </c>
      <c r="AB28" s="44">
        <f>'Compute Metrics'!$D$13</f>
        <v>8.0000000000000002E-3</v>
      </c>
      <c r="AC28" s="44">
        <f>'Compute Metrics'!$D$13</f>
        <v>8.0000000000000002E-3</v>
      </c>
      <c r="AD28" s="44">
        <f>'Compute Metrics'!$D$13</f>
        <v>8.0000000000000002E-3</v>
      </c>
      <c r="AE28" s="2" t="s">
        <v>98</v>
      </c>
      <c r="AF28" s="2"/>
      <c r="AH28" s="2" t="s">
        <v>62</v>
      </c>
      <c r="AI28" s="44">
        <f>'Compute Metrics'!$E$13</f>
        <v>8.0000000000000002E-3</v>
      </c>
      <c r="AJ28" s="44">
        <f>'Compute Metrics'!$E$13</f>
        <v>8.0000000000000002E-3</v>
      </c>
      <c r="AK28" s="44">
        <f>'Compute Metrics'!$E$13</f>
        <v>8.0000000000000002E-3</v>
      </c>
      <c r="AL28" s="44">
        <f>'Compute Metrics'!$E$13</f>
        <v>8.0000000000000002E-3</v>
      </c>
      <c r="AM28" s="44">
        <f>'Compute Metrics'!$E$13</f>
        <v>8.0000000000000002E-3</v>
      </c>
      <c r="AN28" s="2" t="s">
        <v>98</v>
      </c>
      <c r="AO28" s="2"/>
    </row>
    <row r="29" spans="2:41" x14ac:dyDescent="0.25">
      <c r="B29" s="59" t="s">
        <v>103</v>
      </c>
      <c r="C29" s="44">
        <f>'TDC Metrics'!D9</f>
        <v>0.52</v>
      </c>
      <c r="D29" s="44">
        <f>'TDC Metrics'!E9</f>
        <v>0.52</v>
      </c>
      <c r="E29" s="44">
        <f>'TDC Metrics'!F9</f>
        <v>0.52</v>
      </c>
      <c r="F29" s="2" t="s">
        <v>185</v>
      </c>
      <c r="G29" s="2" t="s">
        <v>441</v>
      </c>
      <c r="I29" s="2" t="s">
        <v>23</v>
      </c>
      <c r="J29" s="113">
        <f>'Compute Metrics'!$C$14</f>
        <v>1.5</v>
      </c>
      <c r="K29" s="113">
        <f>'Compute Metrics'!D14</f>
        <v>2</v>
      </c>
      <c r="L29" s="113">
        <f>'Compute Metrics'!E14</f>
        <v>2.8</v>
      </c>
      <c r="M29" s="2" t="s">
        <v>8</v>
      </c>
      <c r="N29" s="5"/>
      <c r="P29" s="2" t="s">
        <v>23</v>
      </c>
      <c r="Q29" s="113">
        <f>'Compute Metrics'!$C$14</f>
        <v>1.5</v>
      </c>
      <c r="R29" s="113">
        <f>'Compute Metrics'!$C$14</f>
        <v>1.5</v>
      </c>
      <c r="S29" s="113">
        <f>'Compute Metrics'!$C$14</f>
        <v>1.5</v>
      </c>
      <c r="T29" s="113">
        <f>'Compute Metrics'!$C$14</f>
        <v>1.5</v>
      </c>
      <c r="U29" s="113">
        <f>'Compute Metrics'!$C$14</f>
        <v>1.5</v>
      </c>
      <c r="V29" s="2" t="s">
        <v>8</v>
      </c>
      <c r="W29" s="5"/>
      <c r="Y29" s="2" t="s">
        <v>23</v>
      </c>
      <c r="Z29" s="113">
        <f>'Compute Metrics'!$D$14</f>
        <v>2</v>
      </c>
      <c r="AA29" s="113">
        <f>'Compute Metrics'!$D$14</f>
        <v>2</v>
      </c>
      <c r="AB29" s="113">
        <f>'Compute Metrics'!$D$14</f>
        <v>2</v>
      </c>
      <c r="AC29" s="113">
        <f>'Compute Metrics'!$D$14</f>
        <v>2</v>
      </c>
      <c r="AD29" s="113">
        <f>'Compute Metrics'!$D$14</f>
        <v>2</v>
      </c>
      <c r="AE29" s="2" t="s">
        <v>8</v>
      </c>
      <c r="AF29" s="5"/>
      <c r="AH29" s="2" t="s">
        <v>23</v>
      </c>
      <c r="AI29" s="113">
        <f>'Compute Metrics'!$E$14</f>
        <v>2.8</v>
      </c>
      <c r="AJ29" s="113">
        <f>'Compute Metrics'!$E$14</f>
        <v>2.8</v>
      </c>
      <c r="AK29" s="113">
        <f>'Compute Metrics'!$E$14</f>
        <v>2.8</v>
      </c>
      <c r="AL29" s="113">
        <f>'Compute Metrics'!$E$14</f>
        <v>2.8</v>
      </c>
      <c r="AM29" s="113">
        <f>'Compute Metrics'!$E$14</f>
        <v>2.8</v>
      </c>
      <c r="AN29" s="2" t="s">
        <v>8</v>
      </c>
      <c r="AO29" s="5"/>
    </row>
    <row r="30" spans="2:41" x14ac:dyDescent="0.25">
      <c r="B30" s="59" t="s">
        <v>389</v>
      </c>
      <c r="C30" s="70">
        <f>'TDC Metrics'!D10</f>
        <v>0.36</v>
      </c>
      <c r="D30" s="70">
        <f>'TDC Metrics'!E10</f>
        <v>0.36</v>
      </c>
      <c r="E30" s="70">
        <f>'TDC Metrics'!F10</f>
        <v>0.36</v>
      </c>
      <c r="F30" s="2" t="s">
        <v>14</v>
      </c>
      <c r="G30" s="2" t="s">
        <v>390</v>
      </c>
      <c r="I30" s="98" t="s">
        <v>802</v>
      </c>
      <c r="J30" s="12">
        <f>C31</f>
        <v>2</v>
      </c>
      <c r="K30" s="12">
        <f>D31</f>
        <v>2</v>
      </c>
      <c r="L30" s="12">
        <f>E31</f>
        <v>2</v>
      </c>
      <c r="M30" s="12" t="s">
        <v>9</v>
      </c>
      <c r="N30" s="12" t="s">
        <v>134</v>
      </c>
      <c r="P30" s="98" t="s">
        <v>802</v>
      </c>
      <c r="Q30" s="12">
        <f>$C$31</f>
        <v>2</v>
      </c>
      <c r="R30" s="12">
        <f>$C$31</f>
        <v>2</v>
      </c>
      <c r="S30" s="12">
        <f>$C$31</f>
        <v>2</v>
      </c>
      <c r="T30" s="12">
        <f>$C$31</f>
        <v>2</v>
      </c>
      <c r="U30" s="12">
        <f>$C$31</f>
        <v>2</v>
      </c>
      <c r="V30" s="12" t="s">
        <v>9</v>
      </c>
      <c r="W30" s="12" t="s">
        <v>134</v>
      </c>
      <c r="Y30" s="98" t="s">
        <v>802</v>
      </c>
      <c r="Z30" s="12">
        <f>$D$31</f>
        <v>2</v>
      </c>
      <c r="AA30" s="12">
        <f>$D$31</f>
        <v>2</v>
      </c>
      <c r="AB30" s="12">
        <f>$D$31</f>
        <v>2</v>
      </c>
      <c r="AC30" s="12">
        <f>$D$31</f>
        <v>2</v>
      </c>
      <c r="AD30" s="12">
        <f>$D$31</f>
        <v>2</v>
      </c>
      <c r="AE30" s="12" t="s">
        <v>9</v>
      </c>
      <c r="AF30" s="12" t="s">
        <v>134</v>
      </c>
      <c r="AH30" s="98" t="s">
        <v>802</v>
      </c>
      <c r="AI30" s="12">
        <f>$E$31</f>
        <v>2</v>
      </c>
      <c r="AJ30" s="12">
        <f>$E$31</f>
        <v>2</v>
      </c>
      <c r="AK30" s="12">
        <f>$E$31</f>
        <v>2</v>
      </c>
      <c r="AL30" s="12">
        <f>$E$31</f>
        <v>2</v>
      </c>
      <c r="AM30" s="12">
        <f>$E$31</f>
        <v>2</v>
      </c>
      <c r="AN30" s="12" t="s">
        <v>9</v>
      </c>
      <c r="AO30" s="12" t="s">
        <v>134</v>
      </c>
    </row>
    <row r="31" spans="2:41" x14ac:dyDescent="0.25">
      <c r="B31" s="59" t="s">
        <v>802</v>
      </c>
      <c r="C31" s="2">
        <v>2</v>
      </c>
      <c r="D31" s="2">
        <v>2</v>
      </c>
      <c r="E31" s="2">
        <v>2</v>
      </c>
      <c r="F31" s="2" t="s">
        <v>9</v>
      </c>
      <c r="G31" s="2"/>
      <c r="I31" s="2" t="s">
        <v>121</v>
      </c>
      <c r="J31" s="4">
        <v>0.5</v>
      </c>
      <c r="K31" s="4">
        <v>0.5</v>
      </c>
      <c r="L31" s="4">
        <v>0.5</v>
      </c>
      <c r="M31" s="2"/>
      <c r="N31" s="2" t="s">
        <v>123</v>
      </c>
      <c r="P31" s="2" t="s">
        <v>121</v>
      </c>
      <c r="Q31" s="4">
        <v>0.5</v>
      </c>
      <c r="R31" s="4">
        <v>0.5</v>
      </c>
      <c r="S31" s="4">
        <v>0.5</v>
      </c>
      <c r="T31" s="4">
        <v>0.5</v>
      </c>
      <c r="U31" s="4">
        <v>0.5</v>
      </c>
      <c r="V31" s="2"/>
      <c r="W31" s="2" t="s">
        <v>123</v>
      </c>
      <c r="Y31" s="2" t="s">
        <v>121</v>
      </c>
      <c r="Z31" s="4">
        <v>0.5</v>
      </c>
      <c r="AA31" s="4">
        <v>0.5</v>
      </c>
      <c r="AB31" s="4">
        <v>0.5</v>
      </c>
      <c r="AC31" s="4">
        <v>0.5</v>
      </c>
      <c r="AD31" s="4">
        <v>0.5</v>
      </c>
      <c r="AE31" s="2"/>
      <c r="AF31" s="2" t="s">
        <v>123</v>
      </c>
      <c r="AH31" s="2" t="s">
        <v>121</v>
      </c>
      <c r="AI31" s="4">
        <v>0.5</v>
      </c>
      <c r="AJ31" s="4">
        <v>0.5</v>
      </c>
      <c r="AK31" s="4">
        <v>0.5</v>
      </c>
      <c r="AL31" s="4">
        <v>0.5</v>
      </c>
      <c r="AM31" s="4">
        <v>0.5</v>
      </c>
      <c r="AN31" s="2"/>
      <c r="AO31" s="2" t="s">
        <v>123</v>
      </c>
    </row>
    <row r="32" spans="2:41" x14ac:dyDescent="0.25">
      <c r="B32" s="59" t="s">
        <v>121</v>
      </c>
      <c r="C32" s="4">
        <v>0.5</v>
      </c>
      <c r="D32" s="4">
        <v>0.5</v>
      </c>
      <c r="E32" s="4">
        <v>0.5</v>
      </c>
      <c r="F32" s="2"/>
      <c r="G32" s="2" t="s">
        <v>123</v>
      </c>
      <c r="I32" s="12" t="s">
        <v>75</v>
      </c>
      <c r="J32" s="31">
        <f>J23/J26</f>
        <v>23.529411764705884</v>
      </c>
      <c r="K32" s="31">
        <f>K23/K26</f>
        <v>27.225130890052355</v>
      </c>
      <c r="L32" s="31">
        <f>L23/L26</f>
        <v>31.358885017421603</v>
      </c>
      <c r="M32" s="12" t="s">
        <v>14</v>
      </c>
      <c r="N32" s="48"/>
      <c r="P32" s="12" t="s">
        <v>75</v>
      </c>
      <c r="Q32" s="31">
        <f>Q23/Q26</f>
        <v>23.529411764705884</v>
      </c>
      <c r="R32" s="31">
        <f>R23/R26</f>
        <v>23.529411764705884</v>
      </c>
      <c r="S32" s="31">
        <f>S23/S26</f>
        <v>23.529411764705884</v>
      </c>
      <c r="T32" s="31">
        <f>T23/T26</f>
        <v>23.529411764705884</v>
      </c>
      <c r="U32" s="31">
        <f>U23/U26</f>
        <v>23.529411764705884</v>
      </c>
      <c r="V32" s="12" t="s">
        <v>14</v>
      </c>
      <c r="W32" s="48"/>
      <c r="Y32" s="12" t="s">
        <v>75</v>
      </c>
      <c r="Z32" s="31">
        <f>Z23/Z26</f>
        <v>27.225130890052355</v>
      </c>
      <c r="AA32" s="31">
        <f>AA23/AA26</f>
        <v>27.225130890052355</v>
      </c>
      <c r="AB32" s="31">
        <f>AB23/AB26</f>
        <v>27.225130890052355</v>
      </c>
      <c r="AC32" s="31">
        <f>AC23/AC26</f>
        <v>27.225130890052355</v>
      </c>
      <c r="AD32" s="31">
        <f>AD23/AD26</f>
        <v>27.225130890052355</v>
      </c>
      <c r="AE32" s="12" t="s">
        <v>14</v>
      </c>
      <c r="AF32" s="48"/>
      <c r="AH32" s="12" t="s">
        <v>75</v>
      </c>
      <c r="AI32" s="31">
        <f>AI23/AI26</f>
        <v>31.358885017421603</v>
      </c>
      <c r="AJ32" s="31">
        <f>AJ23/AJ26</f>
        <v>31.358885017421603</v>
      </c>
      <c r="AK32" s="31">
        <f>AK23/AK26</f>
        <v>31.358885017421603</v>
      </c>
      <c r="AL32" s="31">
        <f>AL23/AL26</f>
        <v>31.358885017421603</v>
      </c>
      <c r="AM32" s="31">
        <f>AM23/AM26</f>
        <v>31.358885017421603</v>
      </c>
      <c r="AN32" s="12" t="s">
        <v>14</v>
      </c>
      <c r="AO32" s="48"/>
    </row>
    <row r="33" spans="2:41" x14ac:dyDescent="0.25">
      <c r="B33" s="12" t="s">
        <v>39</v>
      </c>
      <c r="C33" s="12">
        <f>C24*C25</f>
        <v>560</v>
      </c>
      <c r="D33" s="12">
        <f>D24*D25</f>
        <v>840</v>
      </c>
      <c r="E33" s="12">
        <f>E24*E25</f>
        <v>1264</v>
      </c>
      <c r="F33" s="12" t="s">
        <v>45</v>
      </c>
      <c r="G33" s="52"/>
      <c r="I33" s="12" t="s">
        <v>76</v>
      </c>
      <c r="J33" s="97">
        <f>J29/J26</f>
        <v>1.176470588235294E-3</v>
      </c>
      <c r="K33" s="97">
        <f>K29/K26</f>
        <v>1.0471204188481676E-3</v>
      </c>
      <c r="L33" s="97">
        <f>L29/L26</f>
        <v>9.7560975609756087E-4</v>
      </c>
      <c r="M33" s="12" t="s">
        <v>15</v>
      </c>
      <c r="N33" s="21"/>
      <c r="P33" s="12" t="s">
        <v>76</v>
      </c>
      <c r="Q33" s="97">
        <f>Q29/Q26</f>
        <v>1.176470588235294E-3</v>
      </c>
      <c r="R33" s="97">
        <f>R29/R26</f>
        <v>1.176470588235294E-3</v>
      </c>
      <c r="S33" s="97">
        <f>S29/S26</f>
        <v>1.176470588235294E-3</v>
      </c>
      <c r="T33" s="97">
        <f>T29/T26</f>
        <v>1.176470588235294E-3</v>
      </c>
      <c r="U33" s="97">
        <f>U29/U26</f>
        <v>1.176470588235294E-3</v>
      </c>
      <c r="V33" s="12" t="s">
        <v>15</v>
      </c>
      <c r="W33" s="21"/>
      <c r="Y33" s="12" t="s">
        <v>76</v>
      </c>
      <c r="Z33" s="97">
        <f>Z29/Z26</f>
        <v>1.0471204188481676E-3</v>
      </c>
      <c r="AA33" s="97">
        <f>AA29/AA26</f>
        <v>1.0471204188481676E-3</v>
      </c>
      <c r="AB33" s="97">
        <f>AB29/AB26</f>
        <v>1.0471204188481676E-3</v>
      </c>
      <c r="AC33" s="97">
        <f>AC29/AC26</f>
        <v>1.0471204188481676E-3</v>
      </c>
      <c r="AD33" s="97">
        <f>AD29/AD26</f>
        <v>1.0471204188481676E-3</v>
      </c>
      <c r="AE33" s="12" t="s">
        <v>15</v>
      </c>
      <c r="AF33" s="21"/>
      <c r="AH33" s="12" t="s">
        <v>76</v>
      </c>
      <c r="AI33" s="97">
        <f>AI29/AI26</f>
        <v>9.7560975609756087E-4</v>
      </c>
      <c r="AJ33" s="97">
        <f>AJ29/AJ26</f>
        <v>9.7560975609756087E-4</v>
      </c>
      <c r="AK33" s="97">
        <f>AK29/AK26</f>
        <v>9.7560975609756087E-4</v>
      </c>
      <c r="AL33" s="97">
        <f>AL29/AL26</f>
        <v>9.7560975609756087E-4</v>
      </c>
      <c r="AM33" s="97">
        <f>AM29/AM26</f>
        <v>9.7560975609756087E-4</v>
      </c>
      <c r="AN33" s="12" t="s">
        <v>15</v>
      </c>
      <c r="AO33" s="21"/>
    </row>
    <row r="34" spans="2:41" x14ac:dyDescent="0.25">
      <c r="B34" s="12" t="s">
        <v>44</v>
      </c>
      <c r="C34" s="18">
        <f>C10/C26</f>
        <v>784313.72549019603</v>
      </c>
      <c r="D34" s="18">
        <f>D10/D26</f>
        <v>523560.20942408376</v>
      </c>
      <c r="E34" s="18">
        <f>E10/E26</f>
        <v>348432.05574912892</v>
      </c>
      <c r="F34" s="12" t="s">
        <v>22</v>
      </c>
      <c r="G34" s="40"/>
      <c r="I34" s="12" t="s">
        <v>819</v>
      </c>
      <c r="J34" s="18">
        <f>J10/J26</f>
        <v>784313.72549019603</v>
      </c>
      <c r="K34" s="18">
        <f>K10/K26</f>
        <v>523560.20942408376</v>
      </c>
      <c r="L34" s="18">
        <f>L10/L26</f>
        <v>348432.05574912892</v>
      </c>
      <c r="M34" s="12" t="s">
        <v>22</v>
      </c>
      <c r="N34" s="12"/>
      <c r="P34" s="12" t="s">
        <v>819</v>
      </c>
      <c r="Q34" s="18">
        <f>Q10/Q26</f>
        <v>784313.72549019603</v>
      </c>
      <c r="R34" s="18">
        <f>R10/R26</f>
        <v>784313.72549019603</v>
      </c>
      <c r="S34" s="18">
        <f>S10/S26</f>
        <v>784313.72549019603</v>
      </c>
      <c r="T34" s="18">
        <f>T10/T26</f>
        <v>784313.72549019603</v>
      </c>
      <c r="U34" s="18">
        <f>U10/U26</f>
        <v>784313.72549019603</v>
      </c>
      <c r="V34" s="12" t="s">
        <v>22</v>
      </c>
      <c r="W34" s="12"/>
      <c r="Y34" s="12" t="s">
        <v>819</v>
      </c>
      <c r="Z34" s="18">
        <f>Z10/Z26</f>
        <v>523560.20942408376</v>
      </c>
      <c r="AA34" s="18">
        <f t="shared" ref="AA34:AD34" si="16">AA10/AA26</f>
        <v>523560.20942408376</v>
      </c>
      <c r="AB34" s="18">
        <f t="shared" si="16"/>
        <v>523560.20942408376</v>
      </c>
      <c r="AC34" s="18">
        <f t="shared" si="16"/>
        <v>523560.20942408376</v>
      </c>
      <c r="AD34" s="18">
        <f t="shared" si="16"/>
        <v>523560.20942408376</v>
      </c>
      <c r="AE34" s="12" t="s">
        <v>22</v>
      </c>
      <c r="AF34" s="12"/>
      <c r="AH34" s="12" t="s">
        <v>819</v>
      </c>
      <c r="AI34" s="18">
        <f>AI10/AI26</f>
        <v>348432.05574912892</v>
      </c>
      <c r="AJ34" s="18">
        <f t="shared" ref="AJ34:AM34" si="17">AJ10/AJ26</f>
        <v>348432.05574912892</v>
      </c>
      <c r="AK34" s="18">
        <f t="shared" si="17"/>
        <v>348432.05574912892</v>
      </c>
      <c r="AL34" s="18">
        <f t="shared" si="17"/>
        <v>348432.05574912892</v>
      </c>
      <c r="AM34" s="18">
        <f t="shared" si="17"/>
        <v>348432.05574912892</v>
      </c>
      <c r="AN34" s="12" t="s">
        <v>22</v>
      </c>
      <c r="AO34" s="12"/>
    </row>
    <row r="35" spans="2:41" x14ac:dyDescent="0.25">
      <c r="B35" s="12" t="s">
        <v>101</v>
      </c>
      <c r="C35" s="24">
        <f>C34*C23</f>
        <v>23529411764.705879</v>
      </c>
      <c r="D35" s="24">
        <f>D34*D23</f>
        <v>27225130890.052357</v>
      </c>
      <c r="E35" s="24">
        <f>E34*E23</f>
        <v>31358885017.421604</v>
      </c>
      <c r="F35" s="12" t="s">
        <v>6</v>
      </c>
      <c r="G35" s="12"/>
      <c r="I35" s="12" t="s">
        <v>816</v>
      </c>
      <c r="J35" s="19">
        <f>J34*J28*J71</f>
        <v>31372.549019607839</v>
      </c>
      <c r="K35" s="19">
        <f>K34*K28*K71</f>
        <v>20942.408376963351</v>
      </c>
      <c r="L35" s="19">
        <f>L34*L28*L71</f>
        <v>13937.282229965158</v>
      </c>
      <c r="M35" s="12" t="s">
        <v>22</v>
      </c>
      <c r="N35" s="12"/>
      <c r="P35" s="12" t="s">
        <v>816</v>
      </c>
      <c r="Q35" s="19">
        <f>Q34*Q28*Q71</f>
        <v>31372.549019607839</v>
      </c>
      <c r="R35" s="19">
        <f>R34*R28*R71</f>
        <v>31372.549019607839</v>
      </c>
      <c r="S35" s="19">
        <f>S34*S28*S71</f>
        <v>31372.549019607839</v>
      </c>
      <c r="T35" s="19">
        <f>T34*T28*T71</f>
        <v>31372.549019607839</v>
      </c>
      <c r="U35" s="19">
        <f>U34*U28*U71</f>
        <v>31372.549019607839</v>
      </c>
      <c r="V35" s="12" t="s">
        <v>22</v>
      </c>
      <c r="W35" s="12"/>
      <c r="Y35" s="12" t="s">
        <v>816</v>
      </c>
      <c r="Z35" s="19">
        <f>Z34*Z28*Z71</f>
        <v>20942.408376963351</v>
      </c>
      <c r="AA35" s="19">
        <f>AA34*AA28*AA71</f>
        <v>20942.408376963351</v>
      </c>
      <c r="AB35" s="19">
        <f>AB34*AB28*AB71</f>
        <v>20942.408376963351</v>
      </c>
      <c r="AC35" s="19">
        <f>AC34*AC28*AC71</f>
        <v>20942.408376963351</v>
      </c>
      <c r="AD35" s="19">
        <f>AD34*AD28*AD71</f>
        <v>20942.408376963351</v>
      </c>
      <c r="AE35" s="12" t="s">
        <v>22</v>
      </c>
      <c r="AF35" s="12"/>
      <c r="AH35" s="12" t="s">
        <v>816</v>
      </c>
      <c r="AI35" s="19">
        <f>AI34*AI28*AI71</f>
        <v>13937.282229965158</v>
      </c>
      <c r="AJ35" s="19">
        <f>AJ34*AJ28*AJ71</f>
        <v>13937.282229965158</v>
      </c>
      <c r="AK35" s="19">
        <f>AK34*AK28*AK71</f>
        <v>13937.282229965158</v>
      </c>
      <c r="AL35" s="19">
        <f>AL34*AL28*AL71</f>
        <v>13937.282229965158</v>
      </c>
      <c r="AM35" s="19">
        <f>AM34*AM28*AM71</f>
        <v>13937.282229965158</v>
      </c>
      <c r="AN35" s="12" t="s">
        <v>22</v>
      </c>
      <c r="AO35" s="12"/>
    </row>
    <row r="36" spans="2:41" x14ac:dyDescent="0.25">
      <c r="B36" s="12" t="s">
        <v>94</v>
      </c>
      <c r="C36" s="24">
        <f>C29*C35</f>
        <v>12235294117.647058</v>
      </c>
      <c r="D36" s="24">
        <f>D29*D35</f>
        <v>14157068062.827227</v>
      </c>
      <c r="E36" s="24">
        <f>E29*E35</f>
        <v>16306620209.059235</v>
      </c>
      <c r="F36" s="12" t="s">
        <v>6</v>
      </c>
      <c r="G36" s="12"/>
      <c r="I36" s="33" t="s">
        <v>48</v>
      </c>
      <c r="J36" s="35">
        <f>(J34+J35)*J23</f>
        <v>24470588235.294117</v>
      </c>
      <c r="K36" s="35">
        <f t="shared" ref="K36:L36" si="18">(K34+K35)*K23</f>
        <v>28314136125.654453</v>
      </c>
      <c r="L36" s="35">
        <f t="shared" si="18"/>
        <v>32613240418.118465</v>
      </c>
      <c r="M36" s="33" t="s">
        <v>6</v>
      </c>
      <c r="N36" s="51"/>
      <c r="P36" s="141" t="s">
        <v>48</v>
      </c>
      <c r="Q36" s="142">
        <f>(Q34+Q35)*Q23</f>
        <v>24470588235.294117</v>
      </c>
      <c r="R36" s="142">
        <f t="shared" ref="R36:U36" si="19">(R34+R35)*R23</f>
        <v>24470588235.294117</v>
      </c>
      <c r="S36" s="142">
        <f t="shared" si="19"/>
        <v>24470588235.294117</v>
      </c>
      <c r="T36" s="142">
        <f t="shared" si="19"/>
        <v>24470588235.294117</v>
      </c>
      <c r="U36" s="142">
        <f t="shared" si="19"/>
        <v>24470588235.294117</v>
      </c>
      <c r="V36" s="141" t="s">
        <v>6</v>
      </c>
      <c r="W36" s="143"/>
      <c r="Y36" s="141" t="s">
        <v>48</v>
      </c>
      <c r="Z36" s="142">
        <f>(Z34+Z35)*Z23</f>
        <v>28314136125.654453</v>
      </c>
      <c r="AA36" s="142">
        <f t="shared" ref="AA36:AD36" si="20">(AA34+AA35)*AA23</f>
        <v>28314136125.654453</v>
      </c>
      <c r="AB36" s="142">
        <f t="shared" si="20"/>
        <v>28314136125.654453</v>
      </c>
      <c r="AC36" s="142">
        <f t="shared" si="20"/>
        <v>28314136125.654453</v>
      </c>
      <c r="AD36" s="142">
        <f t="shared" si="20"/>
        <v>28314136125.654453</v>
      </c>
      <c r="AE36" s="141" t="s">
        <v>6</v>
      </c>
      <c r="AF36" s="143"/>
      <c r="AH36" s="141" t="s">
        <v>48</v>
      </c>
      <c r="AI36" s="142">
        <f>(AI34+AI35)*AI23</f>
        <v>32613240418.118465</v>
      </c>
      <c r="AJ36" s="142">
        <f t="shared" ref="AJ36" si="21">(AJ34+AJ35)*AJ23</f>
        <v>32613240418.118465</v>
      </c>
      <c r="AK36" s="142">
        <f t="shared" ref="AK36" si="22">(AK34+AK35)*AK23</f>
        <v>32613240418.118465</v>
      </c>
      <c r="AL36" s="142">
        <f t="shared" ref="AL36" si="23">(AL34+AL35)*AL23</f>
        <v>32613240418.118465</v>
      </c>
      <c r="AM36" s="142">
        <f t="shared" ref="AM36" si="24">(AM34+AM35)*AM23</f>
        <v>32613240418.118465</v>
      </c>
      <c r="AN36" s="141" t="s">
        <v>6</v>
      </c>
      <c r="AO36" s="143"/>
    </row>
    <row r="37" spans="2:41" x14ac:dyDescent="0.25">
      <c r="B37" s="33" t="s">
        <v>102</v>
      </c>
      <c r="C37" s="35">
        <f>C35+C36</f>
        <v>35764705882.352936</v>
      </c>
      <c r="D37" s="35">
        <f t="shared" ref="D37:E37" si="25">D35+D36</f>
        <v>41382198952.879585</v>
      </c>
      <c r="E37" s="35">
        <f t="shared" si="25"/>
        <v>47665505226.480835</v>
      </c>
      <c r="F37" s="33" t="s">
        <v>6</v>
      </c>
      <c r="G37" s="33"/>
      <c r="I37" s="12" t="s">
        <v>817</v>
      </c>
      <c r="J37" s="18">
        <f>(J34+J35)*J29</f>
        <v>1223529.4117647058</v>
      </c>
      <c r="K37" s="18">
        <f t="shared" ref="K37:L37" si="26">(K34+K35)*K29</f>
        <v>1089005.2356020943</v>
      </c>
      <c r="L37" s="18">
        <f t="shared" si="26"/>
        <v>1014634.1463414633</v>
      </c>
      <c r="M37" s="12" t="s">
        <v>8</v>
      </c>
      <c r="N37" s="12"/>
      <c r="P37" s="12" t="s">
        <v>817</v>
      </c>
      <c r="Q37" s="18">
        <f>(Q34+Q35)*Q29</f>
        <v>1223529.4117647058</v>
      </c>
      <c r="R37" s="18">
        <f t="shared" ref="R37:U37" si="27">(R34+R35)*R29</f>
        <v>1223529.4117647058</v>
      </c>
      <c r="S37" s="18">
        <f t="shared" si="27"/>
        <v>1223529.4117647058</v>
      </c>
      <c r="T37" s="18">
        <f t="shared" si="27"/>
        <v>1223529.4117647058</v>
      </c>
      <c r="U37" s="18">
        <f t="shared" si="27"/>
        <v>1223529.4117647058</v>
      </c>
      <c r="V37" s="12" t="s">
        <v>8</v>
      </c>
      <c r="W37" s="12"/>
      <c r="Y37" s="12" t="s">
        <v>817</v>
      </c>
      <c r="Z37" s="18">
        <f>(Z34+Z35)*Z29</f>
        <v>1089005.2356020943</v>
      </c>
      <c r="AA37" s="18">
        <f t="shared" ref="AA37:AD37" si="28">(AA34+AA35)*AA29</f>
        <v>1089005.2356020943</v>
      </c>
      <c r="AB37" s="18">
        <f t="shared" si="28"/>
        <v>1089005.2356020943</v>
      </c>
      <c r="AC37" s="18">
        <f t="shared" si="28"/>
        <v>1089005.2356020943</v>
      </c>
      <c r="AD37" s="18">
        <f t="shared" si="28"/>
        <v>1089005.2356020943</v>
      </c>
      <c r="AE37" s="12" t="s">
        <v>8</v>
      </c>
      <c r="AF37" s="12"/>
      <c r="AH37" s="12" t="s">
        <v>817</v>
      </c>
      <c r="AI37" s="18">
        <f>(AI34+AI35)*AI29</f>
        <v>1014634.1463414633</v>
      </c>
      <c r="AJ37" s="18">
        <f t="shared" ref="AJ37:AM37" si="29">(AJ34+AJ35)*AJ29</f>
        <v>1014634.1463414633</v>
      </c>
      <c r="AK37" s="18">
        <f t="shared" si="29"/>
        <v>1014634.1463414633</v>
      </c>
      <c r="AL37" s="18">
        <f t="shared" si="29"/>
        <v>1014634.1463414633</v>
      </c>
      <c r="AM37" s="18">
        <f t="shared" si="29"/>
        <v>1014634.1463414633</v>
      </c>
      <c r="AN37" s="12" t="s">
        <v>8</v>
      </c>
      <c r="AO37" s="12"/>
    </row>
    <row r="38" spans="2:41" x14ac:dyDescent="0.25">
      <c r="B38" s="12" t="s">
        <v>93</v>
      </c>
      <c r="C38" s="18">
        <f>ROUND(C28*C34,0)</f>
        <v>6275</v>
      </c>
      <c r="D38" s="18">
        <f>ROUND(D28*D34,0)</f>
        <v>4188</v>
      </c>
      <c r="E38" s="18">
        <f>ROUND(E28*E34,0)</f>
        <v>2787</v>
      </c>
      <c r="F38" s="12" t="s">
        <v>100</v>
      </c>
      <c r="G38" s="12"/>
      <c r="J38" s="139"/>
      <c r="K38" s="139"/>
      <c r="L38" s="139"/>
      <c r="Q38" s="139"/>
      <c r="R38" s="139"/>
      <c r="S38" s="139"/>
      <c r="T38" s="139"/>
      <c r="U38" s="139"/>
      <c r="Z38" s="139"/>
      <c r="AA38" s="139"/>
      <c r="AB38" s="139"/>
      <c r="AC38" s="139"/>
      <c r="AD38" s="139"/>
      <c r="AI38" s="139"/>
      <c r="AJ38" s="139"/>
      <c r="AK38" s="139"/>
      <c r="AL38" s="139"/>
      <c r="AM38" s="139"/>
    </row>
    <row r="39" spans="2:41" x14ac:dyDescent="0.25">
      <c r="B39" s="12" t="s">
        <v>99</v>
      </c>
      <c r="C39" s="24">
        <f>C38*C23</f>
        <v>188250000</v>
      </c>
      <c r="D39" s="24">
        <f>D38*D23</f>
        <v>217776000</v>
      </c>
      <c r="E39" s="24">
        <f>E38*E23</f>
        <v>250830000</v>
      </c>
      <c r="F39" s="12" t="s">
        <v>10</v>
      </c>
      <c r="G39" s="12" t="s">
        <v>259</v>
      </c>
      <c r="I39" s="16"/>
      <c r="J39" s="71"/>
      <c r="K39" s="71"/>
      <c r="L39" s="71"/>
      <c r="M39" s="16"/>
      <c r="N39" s="17"/>
      <c r="P39" s="16"/>
      <c r="Q39" s="71"/>
      <c r="R39" s="71"/>
      <c r="S39" s="71"/>
      <c r="T39" s="71"/>
      <c r="U39" s="71"/>
      <c r="V39" s="16"/>
      <c r="W39" s="17"/>
      <c r="Y39" s="16"/>
      <c r="Z39" s="71"/>
      <c r="AA39" s="71"/>
      <c r="AB39" s="71"/>
      <c r="AC39" s="71"/>
      <c r="AD39" s="71"/>
      <c r="AE39" s="16"/>
      <c r="AF39" s="17"/>
      <c r="AH39" s="16"/>
      <c r="AI39" s="71"/>
      <c r="AJ39" s="71"/>
      <c r="AK39" s="71"/>
      <c r="AL39" s="71"/>
      <c r="AM39" s="71"/>
      <c r="AN39" s="16"/>
      <c r="AO39" s="17"/>
    </row>
    <row r="40" spans="2:41" x14ac:dyDescent="0.25">
      <c r="B40" s="12" t="s">
        <v>391</v>
      </c>
      <c r="C40" s="24">
        <f>C30*C10</f>
        <v>360000000</v>
      </c>
      <c r="D40" s="24">
        <f>D30*D10</f>
        <v>360000000</v>
      </c>
      <c r="E40" s="24">
        <f>E30*E10</f>
        <v>360000000</v>
      </c>
      <c r="F40" s="12" t="s">
        <v>10</v>
      </c>
      <c r="G40" s="12"/>
      <c r="J40" s="26"/>
      <c r="K40" s="26"/>
      <c r="L40" s="26"/>
    </row>
    <row r="41" spans="2:41" x14ac:dyDescent="0.25">
      <c r="B41" s="33" t="s">
        <v>186</v>
      </c>
      <c r="C41" s="35">
        <f>C40+C39</f>
        <v>548250000</v>
      </c>
      <c r="D41" s="35">
        <f t="shared" ref="D41:E41" si="30">D40+D39</f>
        <v>577776000</v>
      </c>
      <c r="E41" s="35">
        <f t="shared" si="30"/>
        <v>610830000</v>
      </c>
      <c r="F41" s="33" t="s">
        <v>10</v>
      </c>
      <c r="G41" s="12"/>
      <c r="J41" s="26"/>
      <c r="K41" s="26"/>
      <c r="L41" s="26"/>
      <c r="M41" s="26"/>
    </row>
    <row r="42" spans="2:41" x14ac:dyDescent="0.25">
      <c r="C42" s="26"/>
      <c r="D42" s="26"/>
      <c r="E42" s="26"/>
    </row>
    <row r="43" spans="2:41" x14ac:dyDescent="0.25">
      <c r="B43" s="174" t="s">
        <v>49</v>
      </c>
      <c r="C43" s="174"/>
      <c r="D43" s="174"/>
      <c r="E43" s="174"/>
      <c r="F43" s="174"/>
      <c r="G43" s="174"/>
      <c r="I43" s="174" t="s">
        <v>49</v>
      </c>
      <c r="J43" s="174"/>
      <c r="K43" s="174"/>
      <c r="L43" s="174"/>
      <c r="M43" s="174"/>
      <c r="N43" s="174"/>
      <c r="P43" s="165" t="s">
        <v>49</v>
      </c>
      <c r="Q43" s="166"/>
      <c r="R43" s="166"/>
      <c r="S43" s="166"/>
      <c r="T43" s="166"/>
      <c r="U43" s="166"/>
      <c r="V43" s="166"/>
      <c r="W43" s="167"/>
      <c r="Y43" s="165" t="s">
        <v>49</v>
      </c>
      <c r="Z43" s="166"/>
      <c r="AA43" s="166"/>
      <c r="AB43" s="166"/>
      <c r="AC43" s="166"/>
      <c r="AD43" s="166"/>
      <c r="AE43" s="166"/>
      <c r="AF43" s="167"/>
      <c r="AH43" s="165" t="s">
        <v>49</v>
      </c>
      <c r="AI43" s="166"/>
      <c r="AJ43" s="166"/>
      <c r="AK43" s="166"/>
      <c r="AL43" s="166"/>
      <c r="AM43" s="166"/>
      <c r="AN43" s="166"/>
      <c r="AO43" s="167"/>
    </row>
    <row r="44" spans="2:41" x14ac:dyDescent="0.25">
      <c r="B44" s="59" t="s">
        <v>320</v>
      </c>
      <c r="C44" s="79">
        <f>'TDC Metrics'!D11</f>
        <v>1.8</v>
      </c>
      <c r="D44" s="79">
        <f>'TDC Metrics'!E11</f>
        <v>0.2</v>
      </c>
      <c r="E44" s="79">
        <f>'TDC Metrics'!F11</f>
        <v>0</v>
      </c>
      <c r="F44" s="59" t="s">
        <v>321</v>
      </c>
      <c r="G44" s="2"/>
      <c r="I44" s="2" t="s">
        <v>11</v>
      </c>
      <c r="J44" s="9">
        <f>'ODC Metrics'!$F$9</f>
        <v>350</v>
      </c>
      <c r="K44" s="9">
        <f>'ODC Metrics'!G9</f>
        <v>400</v>
      </c>
      <c r="L44" s="9">
        <f>'ODC Metrics'!H9</f>
        <v>500</v>
      </c>
      <c r="M44" s="2" t="s">
        <v>12</v>
      </c>
      <c r="N44" s="5"/>
      <c r="P44" s="2" t="s">
        <v>11</v>
      </c>
      <c r="Q44" s="9">
        <f>'ODC Metrics'!$F$9</f>
        <v>350</v>
      </c>
      <c r="R44" s="9">
        <f>'ODC Metrics'!$F$9</f>
        <v>350</v>
      </c>
      <c r="S44" s="9">
        <f>'ODC Metrics'!$F$9</f>
        <v>350</v>
      </c>
      <c r="T44" s="9">
        <f>'ODC Metrics'!$F$9</f>
        <v>350</v>
      </c>
      <c r="U44" s="9">
        <f>'ODC Metrics'!$F$9</f>
        <v>350</v>
      </c>
      <c r="V44" s="2" t="s">
        <v>12</v>
      </c>
      <c r="W44" s="5"/>
      <c r="Y44" s="2" t="s">
        <v>11</v>
      </c>
      <c r="Z44" s="9">
        <f>'ODC Metrics'!$G$9</f>
        <v>400</v>
      </c>
      <c r="AA44" s="9">
        <f>'ODC Metrics'!$G$9</f>
        <v>400</v>
      </c>
      <c r="AB44" s="9">
        <f>'ODC Metrics'!$G$9</f>
        <v>400</v>
      </c>
      <c r="AC44" s="9">
        <f>'ODC Metrics'!$G$9</f>
        <v>400</v>
      </c>
      <c r="AD44" s="9">
        <f>'ODC Metrics'!$G$9</f>
        <v>400</v>
      </c>
      <c r="AE44" s="2" t="s">
        <v>12</v>
      </c>
      <c r="AF44" s="5"/>
      <c r="AH44" s="2" t="s">
        <v>11</v>
      </c>
      <c r="AI44" s="9">
        <f>'ODC Metrics'!$H$9</f>
        <v>500</v>
      </c>
      <c r="AJ44" s="9">
        <f>'ODC Metrics'!$H$9</f>
        <v>500</v>
      </c>
      <c r="AK44" s="9">
        <f>'ODC Metrics'!$H$9</f>
        <v>500</v>
      </c>
      <c r="AL44" s="9">
        <f>'ODC Metrics'!$H$9</f>
        <v>500</v>
      </c>
      <c r="AM44" s="9">
        <f>'ODC Metrics'!$H$9</f>
        <v>500</v>
      </c>
      <c r="AN44" s="2" t="s">
        <v>12</v>
      </c>
      <c r="AO44" s="5"/>
    </row>
    <row r="45" spans="2:41" x14ac:dyDescent="0.25">
      <c r="B45" s="59" t="s">
        <v>301</v>
      </c>
      <c r="C45" s="81">
        <f>'TDC Metrics'!D12</f>
        <v>6.13E-3</v>
      </c>
      <c r="D45" s="81">
        <f>'TDC Metrics'!E12</f>
        <v>7.11E-3</v>
      </c>
      <c r="E45" s="81">
        <f>'TDC Metrics'!F12</f>
        <v>8.2400000000000008E-3</v>
      </c>
      <c r="F45" s="59" t="s">
        <v>86</v>
      </c>
      <c r="G45" s="2"/>
      <c r="I45" s="2" t="s">
        <v>16</v>
      </c>
      <c r="J45" s="9">
        <f>'ODC Metrics'!$F$10</f>
        <v>0.91</v>
      </c>
      <c r="K45" s="9">
        <f>'ODC Metrics'!G10</f>
        <v>0.95</v>
      </c>
      <c r="L45" s="9">
        <f>'ODC Metrics'!H10</f>
        <v>0.97</v>
      </c>
      <c r="M45" s="2"/>
      <c r="N45" s="5"/>
      <c r="P45" s="2" t="s">
        <v>16</v>
      </c>
      <c r="Q45" s="9">
        <f>'ODC Metrics'!$F$10</f>
        <v>0.91</v>
      </c>
      <c r="R45" s="9">
        <f>'ODC Metrics'!$F$10</f>
        <v>0.91</v>
      </c>
      <c r="S45" s="9">
        <f>'ODC Metrics'!$F$10</f>
        <v>0.91</v>
      </c>
      <c r="T45" s="9">
        <f>'ODC Metrics'!$F$10</f>
        <v>0.91</v>
      </c>
      <c r="U45" s="9">
        <f>'ODC Metrics'!$F$10</f>
        <v>0.91</v>
      </c>
      <c r="V45" s="2"/>
      <c r="W45" s="5"/>
      <c r="Y45" s="2" t="s">
        <v>16</v>
      </c>
      <c r="Z45" s="9">
        <f>'ODC Metrics'!$G$10</f>
        <v>0.95</v>
      </c>
      <c r="AA45" s="9">
        <f>'ODC Metrics'!$G$10</f>
        <v>0.95</v>
      </c>
      <c r="AB45" s="9">
        <f>'ODC Metrics'!$G$10</f>
        <v>0.95</v>
      </c>
      <c r="AC45" s="9">
        <f>'ODC Metrics'!$G$10</f>
        <v>0.95</v>
      </c>
      <c r="AD45" s="9">
        <f>'ODC Metrics'!$G$10</f>
        <v>0.95</v>
      </c>
      <c r="AE45" s="2"/>
      <c r="AF45" s="5"/>
      <c r="AH45" s="2" t="s">
        <v>16</v>
      </c>
      <c r="AI45" s="9">
        <f>'ODC Metrics'!$H$10</f>
        <v>0.97</v>
      </c>
      <c r="AJ45" s="9">
        <f>'ODC Metrics'!$H$10</f>
        <v>0.97</v>
      </c>
      <c r="AK45" s="9">
        <f>'ODC Metrics'!$H$10</f>
        <v>0.97</v>
      </c>
      <c r="AL45" s="9">
        <f>'ODC Metrics'!$H$10</f>
        <v>0.97</v>
      </c>
      <c r="AM45" s="9">
        <f>'ODC Metrics'!$H$10</f>
        <v>0.97</v>
      </c>
      <c r="AN45" s="2"/>
      <c r="AO45" s="5"/>
    </row>
    <row r="46" spans="2:41" x14ac:dyDescent="0.25">
      <c r="B46" s="12" t="s">
        <v>84</v>
      </c>
      <c r="C46" s="18">
        <f>C44/3.785*C10*365*24/1000</f>
        <v>4165918097.754293</v>
      </c>
      <c r="D46" s="18">
        <f>D44/3.785*D10*365*24/1000</f>
        <v>462879788.63936597</v>
      </c>
      <c r="E46" s="18">
        <f>E44/3.785*E10*365*24/1000</f>
        <v>0</v>
      </c>
      <c r="F46" s="12" t="s">
        <v>85</v>
      </c>
      <c r="G46" s="12" t="s">
        <v>442</v>
      </c>
      <c r="I46" s="2" t="s">
        <v>60</v>
      </c>
      <c r="J46" s="9">
        <f>'ODC Metrics'!$F$11</f>
        <v>6</v>
      </c>
      <c r="K46" s="9">
        <f>'ODC Metrics'!G11</f>
        <v>5</v>
      </c>
      <c r="L46" s="9">
        <f>'ODC Metrics'!H11</f>
        <v>4</v>
      </c>
      <c r="M46" s="2" t="s">
        <v>25</v>
      </c>
      <c r="N46" s="2"/>
      <c r="P46" s="2" t="s">
        <v>60</v>
      </c>
      <c r="Q46" s="9">
        <f>'ODC Metrics'!$F$11</f>
        <v>6</v>
      </c>
      <c r="R46" s="9">
        <f>'ODC Metrics'!$F$11</f>
        <v>6</v>
      </c>
      <c r="S46" s="9">
        <f>'ODC Metrics'!$F$11</f>
        <v>6</v>
      </c>
      <c r="T46" s="9">
        <f>'ODC Metrics'!$F$11</f>
        <v>6</v>
      </c>
      <c r="U46" s="9">
        <f>'ODC Metrics'!$F$11</f>
        <v>6</v>
      </c>
      <c r="V46" s="2" t="s">
        <v>25</v>
      </c>
      <c r="W46" s="2"/>
      <c r="Y46" s="2" t="s">
        <v>60</v>
      </c>
      <c r="Z46" s="9">
        <f>'ODC Metrics'!$G$11</f>
        <v>5</v>
      </c>
      <c r="AA46" s="9">
        <f>'ODC Metrics'!$G$11</f>
        <v>5</v>
      </c>
      <c r="AB46" s="9">
        <f>'ODC Metrics'!$G$11</f>
        <v>5</v>
      </c>
      <c r="AC46" s="9">
        <f>'ODC Metrics'!$G$11</f>
        <v>5</v>
      </c>
      <c r="AD46" s="9">
        <f>'ODC Metrics'!$G$11</f>
        <v>5</v>
      </c>
      <c r="AE46" s="2" t="s">
        <v>25</v>
      </c>
      <c r="AF46" s="2"/>
      <c r="AH46" s="2" t="s">
        <v>60</v>
      </c>
      <c r="AI46" s="9">
        <f>'ODC Metrics'!$H$11</f>
        <v>4</v>
      </c>
      <c r="AJ46" s="9">
        <f>'ODC Metrics'!$H$11</f>
        <v>4</v>
      </c>
      <c r="AK46" s="9">
        <f>'ODC Metrics'!$H$11</f>
        <v>4</v>
      </c>
      <c r="AL46" s="9">
        <f>'ODC Metrics'!$H$11</f>
        <v>4</v>
      </c>
      <c r="AM46" s="9">
        <f>'ODC Metrics'!$H$11</f>
        <v>4</v>
      </c>
      <c r="AN46" s="2" t="s">
        <v>25</v>
      </c>
      <c r="AO46" s="2"/>
    </row>
    <row r="47" spans="2:41" x14ac:dyDescent="0.25">
      <c r="B47" s="12" t="s">
        <v>87</v>
      </c>
      <c r="C47" s="22">
        <f>C46*C45</f>
        <v>25537077.939233817</v>
      </c>
      <c r="D47" s="22">
        <f>D46*D45</f>
        <v>3291075.2972258921</v>
      </c>
      <c r="E47" s="22">
        <f t="shared" ref="E47" si="31">E46*E45</f>
        <v>0</v>
      </c>
      <c r="F47" s="12" t="s">
        <v>10</v>
      </c>
      <c r="G47" s="12"/>
      <c r="I47" s="2" t="s">
        <v>61</v>
      </c>
      <c r="J47" s="11">
        <f>'ODC Metrics'!$F$12</f>
        <v>210</v>
      </c>
      <c r="K47" s="11">
        <f>'ODC Metrics'!G12</f>
        <v>189</v>
      </c>
      <c r="L47" s="11">
        <f>'ODC Metrics'!H12</f>
        <v>170</v>
      </c>
      <c r="M47" s="2" t="s">
        <v>13</v>
      </c>
      <c r="N47" s="45"/>
      <c r="P47" s="2" t="s">
        <v>61</v>
      </c>
      <c r="Q47" s="11">
        <f>'ODC Metrics'!$F$12</f>
        <v>210</v>
      </c>
      <c r="R47" s="11">
        <f>'ODC Metrics'!$F$12</f>
        <v>210</v>
      </c>
      <c r="S47" s="11">
        <f>'ODC Metrics'!$F$12</f>
        <v>210</v>
      </c>
      <c r="T47" s="11">
        <f>'ODC Metrics'!$F$12</f>
        <v>210</v>
      </c>
      <c r="U47" s="11">
        <f>'ODC Metrics'!$F$12</f>
        <v>210</v>
      </c>
      <c r="V47" s="2" t="s">
        <v>13</v>
      </c>
      <c r="W47" s="45"/>
      <c r="Y47" s="2" t="s">
        <v>61</v>
      </c>
      <c r="Z47" s="11">
        <f>'ODC Metrics'!$G$12</f>
        <v>189</v>
      </c>
      <c r="AA47" s="11">
        <f>'ODC Metrics'!$G$12</f>
        <v>189</v>
      </c>
      <c r="AB47" s="11">
        <f>'ODC Metrics'!$G$12</f>
        <v>189</v>
      </c>
      <c r="AC47" s="11">
        <f>'ODC Metrics'!$G$12</f>
        <v>189</v>
      </c>
      <c r="AD47" s="11">
        <f>'ODC Metrics'!$G$12</f>
        <v>189</v>
      </c>
      <c r="AE47" s="2" t="s">
        <v>13</v>
      </c>
      <c r="AF47" s="45"/>
      <c r="AH47" s="2" t="s">
        <v>61</v>
      </c>
      <c r="AI47" s="11">
        <f>'ODC Metrics'!$H$12</f>
        <v>170</v>
      </c>
      <c r="AJ47" s="11">
        <f>'ODC Metrics'!$H$12</f>
        <v>170</v>
      </c>
      <c r="AK47" s="11">
        <f>'ODC Metrics'!$H$12</f>
        <v>170</v>
      </c>
      <c r="AL47" s="11">
        <f>'ODC Metrics'!$H$12</f>
        <v>170</v>
      </c>
      <c r="AM47" s="11">
        <f>'ODC Metrics'!$H$12</f>
        <v>170</v>
      </c>
      <c r="AN47" s="2" t="s">
        <v>13</v>
      </c>
      <c r="AO47" s="45"/>
    </row>
    <row r="48" spans="2:41" x14ac:dyDescent="0.25">
      <c r="B48" s="33" t="s">
        <v>108</v>
      </c>
      <c r="C48" s="50">
        <f>C47</f>
        <v>25537077.939233817</v>
      </c>
      <c r="D48" s="50">
        <f t="shared" ref="D48:E48" si="32">D47</f>
        <v>3291075.2972258921</v>
      </c>
      <c r="E48" s="50">
        <f t="shared" si="32"/>
        <v>0</v>
      </c>
      <c r="F48" s="33" t="s">
        <v>10</v>
      </c>
      <c r="G48" s="33"/>
      <c r="I48" s="12" t="s">
        <v>19</v>
      </c>
      <c r="J48" s="95">
        <v>3</v>
      </c>
      <c r="K48" s="95">
        <v>3</v>
      </c>
      <c r="L48" s="95">
        <v>3</v>
      </c>
      <c r="M48" s="12" t="s">
        <v>12</v>
      </c>
      <c r="N48" s="21" t="s">
        <v>515</v>
      </c>
      <c r="P48" s="12" t="s">
        <v>19</v>
      </c>
      <c r="Q48" s="95">
        <v>3</v>
      </c>
      <c r="R48" s="95">
        <v>3</v>
      </c>
      <c r="S48" s="95">
        <v>3</v>
      </c>
      <c r="T48" s="95">
        <v>3</v>
      </c>
      <c r="U48" s="95">
        <v>3</v>
      </c>
      <c r="V48" s="12" t="s">
        <v>12</v>
      </c>
      <c r="W48" s="21" t="s">
        <v>515</v>
      </c>
      <c r="Y48" s="12" t="s">
        <v>19</v>
      </c>
      <c r="Z48" s="95">
        <v>3</v>
      </c>
      <c r="AA48" s="95">
        <v>3</v>
      </c>
      <c r="AB48" s="95">
        <v>3</v>
      </c>
      <c r="AC48" s="95">
        <v>3</v>
      </c>
      <c r="AD48" s="95">
        <v>3</v>
      </c>
      <c r="AE48" s="12" t="s">
        <v>12</v>
      </c>
      <c r="AF48" s="21" t="s">
        <v>515</v>
      </c>
      <c r="AH48" s="12" t="s">
        <v>19</v>
      </c>
      <c r="AI48" s="95">
        <v>3</v>
      </c>
      <c r="AJ48" s="95">
        <v>3</v>
      </c>
      <c r="AK48" s="95">
        <v>3</v>
      </c>
      <c r="AL48" s="95">
        <v>3</v>
      </c>
      <c r="AM48" s="95">
        <v>3</v>
      </c>
      <c r="AN48" s="12" t="s">
        <v>12</v>
      </c>
      <c r="AO48" s="21" t="s">
        <v>515</v>
      </c>
    </row>
    <row r="49" spans="2:41" x14ac:dyDescent="0.25">
      <c r="I49" s="12" t="s">
        <v>17</v>
      </c>
      <c r="J49" s="96">
        <v>5.6699999999999998E-8</v>
      </c>
      <c r="K49" s="96">
        <v>5.6699999999999998E-8</v>
      </c>
      <c r="L49" s="96">
        <v>5.6699999999999998E-8</v>
      </c>
      <c r="M49" s="12" t="s">
        <v>18</v>
      </c>
      <c r="N49" s="21" t="s">
        <v>515</v>
      </c>
      <c r="P49" s="12" t="s">
        <v>17</v>
      </c>
      <c r="Q49" s="96">
        <v>5.6699999999999998E-8</v>
      </c>
      <c r="R49" s="96">
        <v>5.6699999999999998E-8</v>
      </c>
      <c r="S49" s="96">
        <v>5.6699999999999998E-8</v>
      </c>
      <c r="T49" s="96">
        <v>5.6699999999999998E-8</v>
      </c>
      <c r="U49" s="96">
        <v>5.6699999999999998E-8</v>
      </c>
      <c r="V49" s="12" t="s">
        <v>18</v>
      </c>
      <c r="W49" s="21" t="s">
        <v>515</v>
      </c>
      <c r="Y49" s="12" t="s">
        <v>17</v>
      </c>
      <c r="Z49" s="96">
        <v>5.6699999999999998E-8</v>
      </c>
      <c r="AA49" s="96">
        <v>5.6699999999999998E-8</v>
      </c>
      <c r="AB49" s="96">
        <v>5.6699999999999998E-8</v>
      </c>
      <c r="AC49" s="96">
        <v>5.6699999999999998E-8</v>
      </c>
      <c r="AD49" s="96">
        <v>5.6699999999999998E-8</v>
      </c>
      <c r="AE49" s="12" t="s">
        <v>18</v>
      </c>
      <c r="AF49" s="21" t="s">
        <v>515</v>
      </c>
      <c r="AH49" s="12" t="s">
        <v>17</v>
      </c>
      <c r="AI49" s="96">
        <v>5.6699999999999998E-8</v>
      </c>
      <c r="AJ49" s="96">
        <v>5.6699999999999998E-8</v>
      </c>
      <c r="AK49" s="96">
        <v>5.6699999999999998E-8</v>
      </c>
      <c r="AL49" s="96">
        <v>5.6699999999999998E-8</v>
      </c>
      <c r="AM49" s="96">
        <v>5.6699999999999998E-8</v>
      </c>
      <c r="AN49" s="12" t="s">
        <v>18</v>
      </c>
      <c r="AO49" s="21" t="s">
        <v>515</v>
      </c>
    </row>
    <row r="50" spans="2:41" x14ac:dyDescent="0.25">
      <c r="I50" s="12" t="s">
        <v>118</v>
      </c>
      <c r="J50" s="32">
        <f>J45*J49*(POWER(J44,4)-POWER(J48,4))</f>
        <v>774.27747707064304</v>
      </c>
      <c r="K50" s="32">
        <f>K45*K49*(POWER(K44,4)-POWER(K48,4))</f>
        <v>1378.9439956369349</v>
      </c>
      <c r="L50" s="32">
        <f>L45*L49*(POWER(L44,4)-POWER(L48,4))</f>
        <v>3437.4374955450808</v>
      </c>
      <c r="M50" s="12" t="s">
        <v>20</v>
      </c>
      <c r="N50" s="21"/>
      <c r="P50" s="12" t="s">
        <v>118</v>
      </c>
      <c r="Q50" s="32">
        <f>Q45*Q49*(POWER(Q44,4)-POWER(Q48,4))</f>
        <v>774.27747707064304</v>
      </c>
      <c r="R50" s="32">
        <f>R45*R49*(POWER(R44,4)-POWER(R48,4))</f>
        <v>774.27747707064304</v>
      </c>
      <c r="S50" s="32">
        <f>S45*S49*(POWER(S44,4)-POWER(S48,4))</f>
        <v>774.27747707064304</v>
      </c>
      <c r="T50" s="32">
        <f>T45*T49*(POWER(T44,4)-POWER(T48,4))</f>
        <v>774.27747707064304</v>
      </c>
      <c r="U50" s="32">
        <f>U45*U49*(POWER(U44,4)-POWER(U48,4))</f>
        <v>774.27747707064304</v>
      </c>
      <c r="V50" s="12" t="s">
        <v>20</v>
      </c>
      <c r="W50" s="21"/>
      <c r="Y50" s="12" t="s">
        <v>118</v>
      </c>
      <c r="Z50" s="32">
        <f>Z45*Z49*(POWER(Z44,4)-POWER(Z48,4))</f>
        <v>1378.9439956369349</v>
      </c>
      <c r="AA50" s="32">
        <f t="shared" ref="AA50:AD50" si="33">AA45*AA49*(POWER(AA44,4)-POWER(AA48,4))</f>
        <v>1378.9439956369349</v>
      </c>
      <c r="AB50" s="32">
        <f t="shared" si="33"/>
        <v>1378.9439956369349</v>
      </c>
      <c r="AC50" s="32">
        <f t="shared" si="33"/>
        <v>1378.9439956369349</v>
      </c>
      <c r="AD50" s="32">
        <f t="shared" si="33"/>
        <v>1378.9439956369349</v>
      </c>
      <c r="AE50" s="12" t="s">
        <v>20</v>
      </c>
      <c r="AF50" s="21"/>
      <c r="AH50" s="12" t="s">
        <v>118</v>
      </c>
      <c r="AI50" s="32">
        <f>AI45*AI49*(POWER(AI44,4)-POWER(AI48,4))</f>
        <v>3437.4374955450808</v>
      </c>
      <c r="AJ50" s="32">
        <f t="shared" ref="AJ50:AM50" si="34">AJ45*AJ49*(POWER(AJ44,4)-POWER(AJ48,4))</f>
        <v>3437.4374955450808</v>
      </c>
      <c r="AK50" s="32">
        <f t="shared" si="34"/>
        <v>3437.4374955450808</v>
      </c>
      <c r="AL50" s="32">
        <f t="shared" si="34"/>
        <v>3437.4374955450808</v>
      </c>
      <c r="AM50" s="32">
        <f t="shared" si="34"/>
        <v>3437.4374955450808</v>
      </c>
      <c r="AN50" s="12" t="s">
        <v>20</v>
      </c>
      <c r="AO50" s="21"/>
    </row>
    <row r="51" spans="2:41" x14ac:dyDescent="0.25">
      <c r="I51" s="12" t="s">
        <v>75</v>
      </c>
      <c r="J51" s="54">
        <f>J47/J50</f>
        <v>0.27122059754921701</v>
      </c>
      <c r="K51" s="54">
        <f>K47/K50</f>
        <v>0.13706140394244279</v>
      </c>
      <c r="L51" s="54">
        <f>L47/L50</f>
        <v>4.9455444708542344E-2</v>
      </c>
      <c r="M51" s="12" t="s">
        <v>14</v>
      </c>
      <c r="N51" s="12"/>
      <c r="P51" s="12" t="s">
        <v>75</v>
      </c>
      <c r="Q51" s="54">
        <f>Q47/Q50</f>
        <v>0.27122059754921701</v>
      </c>
      <c r="R51" s="54">
        <f>R47/R50</f>
        <v>0.27122059754921701</v>
      </c>
      <c r="S51" s="54">
        <f>S47/S50</f>
        <v>0.27122059754921701</v>
      </c>
      <c r="T51" s="54">
        <f>T47/T50</f>
        <v>0.27122059754921701</v>
      </c>
      <c r="U51" s="54">
        <f>U47/U50</f>
        <v>0.27122059754921701</v>
      </c>
      <c r="V51" s="12" t="s">
        <v>14</v>
      </c>
      <c r="W51" s="12"/>
      <c r="Y51" s="12" t="s">
        <v>75</v>
      </c>
      <c r="Z51" s="54">
        <f>Z47/Z50</f>
        <v>0.13706140394244279</v>
      </c>
      <c r="AA51" s="54">
        <f t="shared" ref="AA51:AD51" si="35">AA47/AA50</f>
        <v>0.13706140394244279</v>
      </c>
      <c r="AB51" s="54">
        <f t="shared" si="35"/>
        <v>0.13706140394244279</v>
      </c>
      <c r="AC51" s="54">
        <f t="shared" si="35"/>
        <v>0.13706140394244279</v>
      </c>
      <c r="AD51" s="54">
        <f t="shared" si="35"/>
        <v>0.13706140394244279</v>
      </c>
      <c r="AE51" s="12" t="s">
        <v>14</v>
      </c>
      <c r="AF51" s="12"/>
      <c r="AH51" s="12" t="s">
        <v>75</v>
      </c>
      <c r="AI51" s="54">
        <f>AI47/AI50</f>
        <v>4.9455444708542344E-2</v>
      </c>
      <c r="AJ51" s="54">
        <f t="shared" ref="AJ51:AM51" si="36">AJ47/AJ50</f>
        <v>4.9455444708542344E-2</v>
      </c>
      <c r="AK51" s="54">
        <f t="shared" si="36"/>
        <v>4.9455444708542344E-2</v>
      </c>
      <c r="AL51" s="54">
        <f t="shared" si="36"/>
        <v>4.9455444708542344E-2</v>
      </c>
      <c r="AM51" s="54">
        <f t="shared" si="36"/>
        <v>4.9455444708542344E-2</v>
      </c>
      <c r="AN51" s="12" t="s">
        <v>14</v>
      </c>
      <c r="AO51" s="12"/>
    </row>
    <row r="52" spans="2:41" x14ac:dyDescent="0.25">
      <c r="I52" s="12" t="s">
        <v>76</v>
      </c>
      <c r="J52" s="97">
        <f>J46/J50</f>
        <v>7.7491599299776299E-3</v>
      </c>
      <c r="K52" s="97">
        <f>K46/K50</f>
        <v>3.6259630672603911E-3</v>
      </c>
      <c r="L52" s="97">
        <f>L46/L50</f>
        <v>1.1636575225539374E-3</v>
      </c>
      <c r="M52" s="12" t="s">
        <v>15</v>
      </c>
      <c r="N52" s="12"/>
      <c r="P52" s="12" t="s">
        <v>76</v>
      </c>
      <c r="Q52" s="97">
        <f>Q46/Q50</f>
        <v>7.7491599299776299E-3</v>
      </c>
      <c r="R52" s="97">
        <f>R46/R50</f>
        <v>7.7491599299776299E-3</v>
      </c>
      <c r="S52" s="97">
        <f>S46/S50</f>
        <v>7.7491599299776299E-3</v>
      </c>
      <c r="T52" s="97">
        <f>T46/T50</f>
        <v>7.7491599299776299E-3</v>
      </c>
      <c r="U52" s="97">
        <f>U46/U50</f>
        <v>7.7491599299776299E-3</v>
      </c>
      <c r="V52" s="12" t="s">
        <v>15</v>
      </c>
      <c r="W52" s="12"/>
      <c r="Y52" s="12" t="s">
        <v>76</v>
      </c>
      <c r="Z52" s="97">
        <f>Z46/Z50</f>
        <v>3.6259630672603911E-3</v>
      </c>
      <c r="AA52" s="97">
        <f t="shared" ref="AA52:AD52" si="37">AA46/AA50</f>
        <v>3.6259630672603911E-3</v>
      </c>
      <c r="AB52" s="97">
        <f t="shared" si="37"/>
        <v>3.6259630672603911E-3</v>
      </c>
      <c r="AC52" s="97">
        <f t="shared" si="37"/>
        <v>3.6259630672603911E-3</v>
      </c>
      <c r="AD52" s="97">
        <f t="shared" si="37"/>
        <v>3.6259630672603911E-3</v>
      </c>
      <c r="AE52" s="12" t="s">
        <v>15</v>
      </c>
      <c r="AF52" s="12"/>
      <c r="AH52" s="12" t="s">
        <v>76</v>
      </c>
      <c r="AI52" s="97">
        <f>AI46/AI50</f>
        <v>1.1636575225539374E-3</v>
      </c>
      <c r="AJ52" s="97">
        <f t="shared" ref="AJ52:AM52" si="38">AJ46/AJ50</f>
        <v>1.1636575225539374E-3</v>
      </c>
      <c r="AK52" s="97">
        <f t="shared" si="38"/>
        <v>1.1636575225539374E-3</v>
      </c>
      <c r="AL52" s="97">
        <f t="shared" si="38"/>
        <v>1.1636575225539374E-3</v>
      </c>
      <c r="AM52" s="97">
        <f t="shared" si="38"/>
        <v>1.1636575225539374E-3</v>
      </c>
      <c r="AN52" s="12" t="s">
        <v>15</v>
      </c>
      <c r="AO52" s="12"/>
    </row>
    <row r="53" spans="2:41" x14ac:dyDescent="0.25">
      <c r="I53" s="33" t="s">
        <v>109</v>
      </c>
      <c r="J53" s="35">
        <f>J51*J10</f>
        <v>271220597.54921699</v>
      </c>
      <c r="K53" s="35">
        <f>K51*K10</f>
        <v>137061403.94244277</v>
      </c>
      <c r="L53" s="35">
        <f>L51*L10</f>
        <v>49455444.708542347</v>
      </c>
      <c r="M53" s="33" t="s">
        <v>6</v>
      </c>
      <c r="N53" s="33"/>
      <c r="P53" s="33" t="s">
        <v>109</v>
      </c>
      <c r="Q53" s="35">
        <f>Q51*Q10</f>
        <v>271220597.54921699</v>
      </c>
      <c r="R53" s="35">
        <f>R51*R10</f>
        <v>271220597.54921699</v>
      </c>
      <c r="S53" s="35">
        <f>S51*S10</f>
        <v>271220597.54921699</v>
      </c>
      <c r="T53" s="35">
        <f>T51*T10</f>
        <v>271220597.54921699</v>
      </c>
      <c r="U53" s="35">
        <f>U51*U10</f>
        <v>271220597.54921699</v>
      </c>
      <c r="V53" s="33" t="s">
        <v>6</v>
      </c>
      <c r="W53" s="33"/>
      <c r="Y53" s="33" t="s">
        <v>109</v>
      </c>
      <c r="Z53" s="35">
        <f>Z51*Z10</f>
        <v>137061403.94244277</v>
      </c>
      <c r="AA53" s="35">
        <f t="shared" ref="AA53:AD53" si="39">AA51*AA10</f>
        <v>137061403.94244277</v>
      </c>
      <c r="AB53" s="35">
        <f t="shared" si="39"/>
        <v>137061403.94244277</v>
      </c>
      <c r="AC53" s="35">
        <f t="shared" si="39"/>
        <v>137061403.94244277</v>
      </c>
      <c r="AD53" s="35">
        <f t="shared" si="39"/>
        <v>137061403.94244277</v>
      </c>
      <c r="AE53" s="33" t="s">
        <v>6</v>
      </c>
      <c r="AF53" s="33"/>
      <c r="AH53" s="33" t="s">
        <v>109</v>
      </c>
      <c r="AI53" s="35">
        <f>AI51*AI10</f>
        <v>49455444.708542347</v>
      </c>
      <c r="AJ53" s="35">
        <f t="shared" ref="AJ53:AM53" si="40">AJ51*AJ10</f>
        <v>49455444.708542347</v>
      </c>
      <c r="AK53" s="35">
        <f t="shared" si="40"/>
        <v>49455444.708542347</v>
      </c>
      <c r="AL53" s="35">
        <f t="shared" si="40"/>
        <v>49455444.708542347</v>
      </c>
      <c r="AM53" s="35">
        <f t="shared" si="40"/>
        <v>49455444.708542347</v>
      </c>
      <c r="AN53" s="33" t="s">
        <v>6</v>
      </c>
      <c r="AO53" s="33"/>
    </row>
    <row r="54" spans="2:41" x14ac:dyDescent="0.25">
      <c r="I54" s="12" t="s">
        <v>817</v>
      </c>
      <c r="J54" s="18">
        <f>J52*J10</f>
        <v>7749159.9299776303</v>
      </c>
      <c r="K54" s="18">
        <f t="shared" ref="K54:L54" si="41">K52*K10</f>
        <v>3625963.0672603911</v>
      </c>
      <c r="L54" s="18">
        <f t="shared" si="41"/>
        <v>1163657.5225539375</v>
      </c>
      <c r="M54" s="12" t="s">
        <v>8</v>
      </c>
      <c r="N54" s="33"/>
      <c r="P54" s="12" t="s">
        <v>817</v>
      </c>
      <c r="Q54" s="18">
        <f>Q52*Q10</f>
        <v>7749159.9299776303</v>
      </c>
      <c r="R54" s="18">
        <f t="shared" ref="R54:U54" si="42">R52*R10</f>
        <v>7749159.9299776303</v>
      </c>
      <c r="S54" s="18">
        <f t="shared" si="42"/>
        <v>7749159.9299776303</v>
      </c>
      <c r="T54" s="18">
        <f t="shared" si="42"/>
        <v>7749159.9299776303</v>
      </c>
      <c r="U54" s="18">
        <f t="shared" si="42"/>
        <v>7749159.9299776303</v>
      </c>
      <c r="V54" s="12" t="s">
        <v>8</v>
      </c>
      <c r="W54" s="12"/>
      <c r="Y54" s="12" t="s">
        <v>817</v>
      </c>
      <c r="Z54" s="18">
        <f>Z52*Z10</f>
        <v>3625963.0672603911</v>
      </c>
      <c r="AA54" s="18">
        <f t="shared" ref="AA54:AD54" si="43">AA52*AA10</f>
        <v>3625963.0672603911</v>
      </c>
      <c r="AB54" s="18">
        <f t="shared" si="43"/>
        <v>3625963.0672603911</v>
      </c>
      <c r="AC54" s="18">
        <f t="shared" si="43"/>
        <v>3625963.0672603911</v>
      </c>
      <c r="AD54" s="18">
        <f t="shared" si="43"/>
        <v>3625963.0672603911</v>
      </c>
      <c r="AE54" s="12" t="s">
        <v>8</v>
      </c>
      <c r="AF54" s="12"/>
      <c r="AH54" s="12" t="s">
        <v>817</v>
      </c>
      <c r="AI54" s="18">
        <f>AI52*AI10</f>
        <v>1163657.5225539375</v>
      </c>
      <c r="AJ54" s="18">
        <f t="shared" ref="AJ54:AM54" si="44">AJ52*AJ10</f>
        <v>1163657.5225539375</v>
      </c>
      <c r="AK54" s="18">
        <f t="shared" si="44"/>
        <v>1163657.5225539375</v>
      </c>
      <c r="AL54" s="18">
        <f t="shared" si="44"/>
        <v>1163657.5225539375</v>
      </c>
      <c r="AM54" s="18">
        <f t="shared" si="44"/>
        <v>1163657.5225539375</v>
      </c>
      <c r="AN54" s="12" t="s">
        <v>8</v>
      </c>
      <c r="AO54" s="12"/>
    </row>
    <row r="56" spans="2:41" x14ac:dyDescent="0.25">
      <c r="B56" s="174" t="s">
        <v>734</v>
      </c>
      <c r="C56" s="174"/>
      <c r="D56" s="174"/>
      <c r="E56" s="174"/>
      <c r="F56" s="174"/>
      <c r="G56" s="174"/>
      <c r="I56" s="174" t="s">
        <v>734</v>
      </c>
      <c r="J56" s="174"/>
      <c r="K56" s="174"/>
      <c r="L56" s="174"/>
      <c r="M56" s="174"/>
      <c r="N56" s="174"/>
      <c r="P56" s="165" t="s">
        <v>734</v>
      </c>
      <c r="Q56" s="166"/>
      <c r="R56" s="166"/>
      <c r="S56" s="166"/>
      <c r="T56" s="166"/>
      <c r="U56" s="166"/>
      <c r="V56" s="166"/>
      <c r="W56" s="167"/>
      <c r="Y56" s="165" t="s">
        <v>734</v>
      </c>
      <c r="Z56" s="166"/>
      <c r="AA56" s="166"/>
      <c r="AB56" s="166"/>
      <c r="AC56" s="166"/>
      <c r="AD56" s="166"/>
      <c r="AE56" s="166"/>
      <c r="AF56" s="167"/>
      <c r="AH56" s="165" t="s">
        <v>734</v>
      </c>
      <c r="AI56" s="166"/>
      <c r="AJ56" s="166"/>
      <c r="AK56" s="166"/>
      <c r="AL56" s="166"/>
      <c r="AM56" s="166"/>
      <c r="AN56" s="166"/>
      <c r="AO56" s="167"/>
    </row>
    <row r="57" spans="2:41" x14ac:dyDescent="0.25">
      <c r="B57" s="2" t="s">
        <v>251</v>
      </c>
      <c r="C57" s="6">
        <f>'TDC Metrics'!D13</f>
        <v>12</v>
      </c>
      <c r="D57" s="6">
        <f>'TDC Metrics'!E13</f>
        <v>14.6</v>
      </c>
      <c r="E57" s="6">
        <f>'TDC Metrics'!F13</f>
        <v>17.8</v>
      </c>
      <c r="F57" s="2" t="s">
        <v>14</v>
      </c>
      <c r="G57" s="2" t="s">
        <v>245</v>
      </c>
      <c r="I57" s="59" t="s">
        <v>602</v>
      </c>
      <c r="J57" s="28">
        <f>'ODC Metrics'!$F$13</f>
        <v>0.40899999999999997</v>
      </c>
      <c r="K57" s="28">
        <f>'ODC Metrics'!G13</f>
        <v>0.40899999999999997</v>
      </c>
      <c r="L57" s="28">
        <f>'ODC Metrics'!H13</f>
        <v>0.40899999999999997</v>
      </c>
      <c r="M57" s="2"/>
      <c r="N57" s="2" t="s">
        <v>604</v>
      </c>
      <c r="P57" s="59" t="s">
        <v>602</v>
      </c>
      <c r="Q57" s="28">
        <f>'ODC Metrics'!$F$13</f>
        <v>0.40899999999999997</v>
      </c>
      <c r="R57" s="28">
        <f>'ODC Metrics'!$F$13</f>
        <v>0.40899999999999997</v>
      </c>
      <c r="S57" s="28">
        <f>'ODC Metrics'!$F$13</f>
        <v>0.40899999999999997</v>
      </c>
      <c r="T57" s="28">
        <f>'ODC Metrics'!$F$13</f>
        <v>0.40899999999999997</v>
      </c>
      <c r="U57" s="28">
        <f>'ODC Metrics'!$F$13</f>
        <v>0.40899999999999997</v>
      </c>
      <c r="V57" s="2"/>
      <c r="W57" s="2" t="s">
        <v>604</v>
      </c>
      <c r="Y57" s="59" t="s">
        <v>602</v>
      </c>
      <c r="Z57" s="28">
        <f>'ODC Metrics'!$G$13</f>
        <v>0.40899999999999997</v>
      </c>
      <c r="AA57" s="28">
        <f>'ODC Metrics'!$G$13</f>
        <v>0.40899999999999997</v>
      </c>
      <c r="AB57" s="28">
        <f>'ODC Metrics'!$G$13</f>
        <v>0.40899999999999997</v>
      </c>
      <c r="AC57" s="28">
        <f>'ODC Metrics'!$G$13</f>
        <v>0.40899999999999997</v>
      </c>
      <c r="AD57" s="28">
        <f>'ODC Metrics'!$G$13</f>
        <v>0.40899999999999997</v>
      </c>
      <c r="AE57" s="2"/>
      <c r="AF57" s="2" t="s">
        <v>604</v>
      </c>
      <c r="AH57" s="59" t="s">
        <v>602</v>
      </c>
      <c r="AI57" s="28">
        <f>'ODC Metrics'!$H$13</f>
        <v>0.40899999999999997</v>
      </c>
      <c r="AJ57" s="28">
        <f>'ODC Metrics'!$H$13</f>
        <v>0.40899999999999997</v>
      </c>
      <c r="AK57" s="28">
        <f>'ODC Metrics'!$H$13</f>
        <v>0.40899999999999997</v>
      </c>
      <c r="AL57" s="28">
        <f>'ODC Metrics'!$H$13</f>
        <v>0.40899999999999997</v>
      </c>
      <c r="AM57" s="28">
        <f>'ODC Metrics'!$H$13</f>
        <v>0.40899999999999997</v>
      </c>
      <c r="AN57" s="2"/>
      <c r="AO57" s="2" t="s">
        <v>604</v>
      </c>
    </row>
    <row r="58" spans="2:41" x14ac:dyDescent="0.25">
      <c r="B58" s="59" t="s">
        <v>376</v>
      </c>
      <c r="C58" s="70">
        <f>'TDC Metrics'!D14</f>
        <v>0.36</v>
      </c>
      <c r="D58" s="70">
        <f>'TDC Metrics'!E14</f>
        <v>0.36</v>
      </c>
      <c r="E58" s="70">
        <f>'TDC Metrics'!F14</f>
        <v>0.36</v>
      </c>
      <c r="F58" s="59" t="s">
        <v>422</v>
      </c>
      <c r="G58" s="59" t="s">
        <v>387</v>
      </c>
      <c r="I58" s="59" t="s">
        <v>603</v>
      </c>
      <c r="J58" s="28">
        <f>'ODC Metrics'!$F$14</f>
        <v>0.3</v>
      </c>
      <c r="K58" s="28">
        <f>'ODC Metrics'!G14</f>
        <v>0.25</v>
      </c>
      <c r="L58" s="28">
        <f>'ODC Metrics'!H14</f>
        <v>0.2</v>
      </c>
      <c r="M58" s="2"/>
      <c r="N58" s="2" t="s">
        <v>604</v>
      </c>
      <c r="P58" s="59" t="s">
        <v>603</v>
      </c>
      <c r="Q58" s="28">
        <f>'ODC Metrics'!$F$14</f>
        <v>0.3</v>
      </c>
      <c r="R58" s="28">
        <f>'ODC Metrics'!$F$14</f>
        <v>0.3</v>
      </c>
      <c r="S58" s="28">
        <f>'ODC Metrics'!$F$14</f>
        <v>0.3</v>
      </c>
      <c r="T58" s="28">
        <f>'ODC Metrics'!$F$14</f>
        <v>0.3</v>
      </c>
      <c r="U58" s="28">
        <f>'ODC Metrics'!$F$14</f>
        <v>0.3</v>
      </c>
      <c r="V58" s="2"/>
      <c r="W58" s="2" t="s">
        <v>604</v>
      </c>
      <c r="Y58" s="59" t="s">
        <v>603</v>
      </c>
      <c r="Z58" s="28">
        <f>'ODC Metrics'!$G$14</f>
        <v>0.25</v>
      </c>
      <c r="AA58" s="28">
        <f>'ODC Metrics'!$G$14</f>
        <v>0.25</v>
      </c>
      <c r="AB58" s="28">
        <f>'ODC Metrics'!$G$14</f>
        <v>0.25</v>
      </c>
      <c r="AC58" s="28">
        <f>'ODC Metrics'!$G$14</f>
        <v>0.25</v>
      </c>
      <c r="AD58" s="28">
        <f>'ODC Metrics'!$G$14</f>
        <v>0.25</v>
      </c>
      <c r="AE58" s="2"/>
      <c r="AF58" s="2" t="s">
        <v>604</v>
      </c>
      <c r="AH58" s="59" t="s">
        <v>603</v>
      </c>
      <c r="AI58" s="28">
        <f>'ODC Metrics'!$H$14</f>
        <v>0.2</v>
      </c>
      <c r="AJ58" s="28">
        <f>'ODC Metrics'!$H$14</f>
        <v>0.2</v>
      </c>
      <c r="AK58" s="28">
        <f>'ODC Metrics'!$H$14</f>
        <v>0.2</v>
      </c>
      <c r="AL58" s="28">
        <f>'ODC Metrics'!$H$14</f>
        <v>0.2</v>
      </c>
      <c r="AM58" s="28">
        <f>'ODC Metrics'!$H$14</f>
        <v>0.2</v>
      </c>
      <c r="AN58" s="2"/>
      <c r="AO58" s="2" t="s">
        <v>604</v>
      </c>
    </row>
    <row r="59" spans="2:41" x14ac:dyDescent="0.25">
      <c r="B59" s="2" t="s">
        <v>806</v>
      </c>
      <c r="C59" s="6">
        <f>'TDC Metrics'!D15</f>
        <v>0.17</v>
      </c>
      <c r="D59" s="6">
        <f>'TDC Metrics'!E15</f>
        <v>0.21696786562500003</v>
      </c>
      <c r="E59" s="6">
        <f>'TDC Metrics'!F15</f>
        <v>0.27691208655216509</v>
      </c>
      <c r="F59" s="2" t="s">
        <v>422</v>
      </c>
      <c r="G59" s="2" t="s">
        <v>423</v>
      </c>
      <c r="I59" s="98" t="s">
        <v>818</v>
      </c>
      <c r="J59" s="140">
        <f>J16+J37+J54</f>
        <v>19389356.008409001</v>
      </c>
      <c r="K59" s="140">
        <f t="shared" ref="K59:L59" si="45">K16+K37+K54</f>
        <v>8015298.3358657854</v>
      </c>
      <c r="L59" s="140">
        <f t="shared" si="45"/>
        <v>2511625.0022287341</v>
      </c>
      <c r="M59" s="12" t="s">
        <v>8</v>
      </c>
      <c r="N59" s="12"/>
      <c r="P59" s="98" t="s">
        <v>818</v>
      </c>
      <c r="Q59" s="140">
        <f>Q16+Q37+Q54</f>
        <v>19389356.008409001</v>
      </c>
      <c r="R59" s="140">
        <f t="shared" ref="R59:U59" si="46">R16+R37+R54</f>
        <v>19389356.008409001</v>
      </c>
      <c r="S59" s="140">
        <f t="shared" si="46"/>
        <v>19389356.008409001</v>
      </c>
      <c r="T59" s="140">
        <f t="shared" si="46"/>
        <v>19389356.008409001</v>
      </c>
      <c r="U59" s="140">
        <f t="shared" si="46"/>
        <v>19389356.008409001</v>
      </c>
      <c r="V59" s="12" t="s">
        <v>8</v>
      </c>
      <c r="W59" s="12"/>
      <c r="Y59" s="98" t="s">
        <v>818</v>
      </c>
      <c r="Z59" s="140">
        <f t="shared" ref="Z59:AD59" si="47">Z16+Z37+Z54</f>
        <v>8015298.3358657854</v>
      </c>
      <c r="AA59" s="140">
        <f t="shared" si="47"/>
        <v>8015298.3358657854</v>
      </c>
      <c r="AB59" s="140">
        <f t="shared" si="47"/>
        <v>8015298.3358657854</v>
      </c>
      <c r="AC59" s="140">
        <f t="shared" si="47"/>
        <v>8015298.3358657854</v>
      </c>
      <c r="AD59" s="140">
        <f t="shared" si="47"/>
        <v>8015298.3358657854</v>
      </c>
      <c r="AE59" s="12" t="s">
        <v>8</v>
      </c>
      <c r="AF59" s="12"/>
      <c r="AH59" s="98" t="s">
        <v>818</v>
      </c>
      <c r="AI59" s="140">
        <f t="shared" ref="AI59:AM59" si="48">AI16+AI37+AI54</f>
        <v>2511625.0022287341</v>
      </c>
      <c r="AJ59" s="140">
        <f t="shared" si="48"/>
        <v>2511625.0022287341</v>
      </c>
      <c r="AK59" s="140">
        <f t="shared" si="48"/>
        <v>2511625.0022287341</v>
      </c>
      <c r="AL59" s="140">
        <f t="shared" si="48"/>
        <v>2511625.0022287341</v>
      </c>
      <c r="AM59" s="140">
        <f t="shared" si="48"/>
        <v>2511625.0022287341</v>
      </c>
      <c r="AN59" s="12" t="s">
        <v>8</v>
      </c>
      <c r="AO59" s="12"/>
    </row>
    <row r="60" spans="2:41" x14ac:dyDescent="0.25">
      <c r="B60" s="59" t="s">
        <v>727</v>
      </c>
      <c r="C60" s="116">
        <f>'TDC Metrics'!D16</f>
        <v>3</v>
      </c>
      <c r="D60" s="116">
        <f>'TDC Metrics'!E16</f>
        <v>2</v>
      </c>
      <c r="E60" s="116">
        <f>'TDC Metrics'!F16</f>
        <v>1.5</v>
      </c>
      <c r="F60" s="59" t="s">
        <v>9</v>
      </c>
      <c r="G60" s="59"/>
      <c r="I60" s="12" t="s">
        <v>820</v>
      </c>
      <c r="J60" s="18">
        <f>J57*J59/(1-J57)</f>
        <v>13418352.973670525</v>
      </c>
      <c r="K60" s="18">
        <f t="shared" ref="K60:L60" si="49">K57*K59/(1-K57)</f>
        <v>5546966.1918258984</v>
      </c>
      <c r="L60" s="18">
        <f t="shared" si="49"/>
        <v>1738163.4956202239</v>
      </c>
      <c r="M60" s="12" t="s">
        <v>8</v>
      </c>
      <c r="N60" s="12"/>
      <c r="P60" s="12" t="s">
        <v>820</v>
      </c>
      <c r="Q60" s="18">
        <f>Q57*Q59/(1-Q57)</f>
        <v>13418352.973670525</v>
      </c>
      <c r="R60" s="18">
        <f t="shared" ref="R60:U60" si="50">R57*R59/(1-R57)</f>
        <v>13418352.973670525</v>
      </c>
      <c r="S60" s="18">
        <f t="shared" si="50"/>
        <v>13418352.973670525</v>
      </c>
      <c r="T60" s="18">
        <f t="shared" si="50"/>
        <v>13418352.973670525</v>
      </c>
      <c r="U60" s="18">
        <f t="shared" si="50"/>
        <v>13418352.973670525</v>
      </c>
      <c r="V60" s="12" t="s">
        <v>8</v>
      </c>
      <c r="W60" s="12"/>
      <c r="Y60" s="12" t="s">
        <v>820</v>
      </c>
      <c r="Z60" s="18">
        <f t="shared" ref="Z60:AD60" si="51">Z57*Z59/(1-Z57)</f>
        <v>5546966.1918258984</v>
      </c>
      <c r="AA60" s="18">
        <f t="shared" si="51"/>
        <v>5546966.1918258984</v>
      </c>
      <c r="AB60" s="18">
        <f t="shared" si="51"/>
        <v>5546966.1918258984</v>
      </c>
      <c r="AC60" s="18">
        <f t="shared" si="51"/>
        <v>5546966.1918258984</v>
      </c>
      <c r="AD60" s="18">
        <f t="shared" si="51"/>
        <v>5546966.1918258984</v>
      </c>
      <c r="AE60" s="12" t="s">
        <v>8</v>
      </c>
      <c r="AF60" s="12"/>
      <c r="AH60" s="12" t="s">
        <v>820</v>
      </c>
      <c r="AI60" s="18">
        <f t="shared" ref="AI60" si="52">AI57*AI59/(1-AI57)</f>
        <v>1738163.4956202239</v>
      </c>
      <c r="AJ60" s="18">
        <f t="shared" ref="AJ60" si="53">AJ57*AJ59/(1-AJ57)</f>
        <v>1738163.4956202239</v>
      </c>
      <c r="AK60" s="18">
        <f t="shared" ref="AK60" si="54">AK57*AK59/(1-AK57)</f>
        <v>1738163.4956202239</v>
      </c>
      <c r="AL60" s="18">
        <f t="shared" ref="AL60" si="55">AL57*AL59/(1-AL57)</f>
        <v>1738163.4956202239</v>
      </c>
      <c r="AM60" s="18">
        <f t="shared" ref="AM60" si="56">AM57*AM59/(1-AM57)</f>
        <v>1738163.4956202239</v>
      </c>
      <c r="AN60" s="12" t="s">
        <v>8</v>
      </c>
      <c r="AO60" s="12"/>
    </row>
    <row r="61" spans="2:41" x14ac:dyDescent="0.25">
      <c r="B61" s="59" t="s">
        <v>122</v>
      </c>
      <c r="C61" s="2">
        <v>20</v>
      </c>
      <c r="D61" s="2">
        <v>20</v>
      </c>
      <c r="E61" s="2">
        <v>20</v>
      </c>
      <c r="F61" s="2" t="s">
        <v>9</v>
      </c>
      <c r="G61" s="2"/>
      <c r="I61" s="33" t="s">
        <v>77</v>
      </c>
      <c r="J61" s="34">
        <f>J59+J60</f>
        <v>32807708.982079528</v>
      </c>
      <c r="K61" s="34">
        <f>K59+K60</f>
        <v>13562264.527691685</v>
      </c>
      <c r="L61" s="34">
        <f>L59+L60</f>
        <v>4249788.4978489578</v>
      </c>
      <c r="M61" s="33" t="s">
        <v>8</v>
      </c>
      <c r="N61" s="12"/>
      <c r="P61" s="33" t="s">
        <v>77</v>
      </c>
      <c r="Q61" s="34">
        <f>Q59+Q60</f>
        <v>32807708.982079528</v>
      </c>
      <c r="R61" s="34">
        <f t="shared" ref="R61:U61" si="57">R59+R60</f>
        <v>32807708.982079528</v>
      </c>
      <c r="S61" s="34">
        <f t="shared" si="57"/>
        <v>32807708.982079528</v>
      </c>
      <c r="T61" s="34">
        <f t="shared" si="57"/>
        <v>32807708.982079528</v>
      </c>
      <c r="U61" s="34">
        <f t="shared" si="57"/>
        <v>32807708.982079528</v>
      </c>
      <c r="V61" s="33" t="s">
        <v>8</v>
      </c>
      <c r="W61" s="12"/>
      <c r="Y61" s="33" t="s">
        <v>77</v>
      </c>
      <c r="Z61" s="34">
        <f>Z59+Z60</f>
        <v>13562264.527691685</v>
      </c>
      <c r="AA61" s="34">
        <f t="shared" ref="AA61:AD61" si="58">AA59+AA60</f>
        <v>13562264.527691685</v>
      </c>
      <c r="AB61" s="34">
        <f t="shared" si="58"/>
        <v>13562264.527691685</v>
      </c>
      <c r="AC61" s="34">
        <f t="shared" si="58"/>
        <v>13562264.527691685</v>
      </c>
      <c r="AD61" s="34">
        <f t="shared" si="58"/>
        <v>13562264.527691685</v>
      </c>
      <c r="AE61" s="33" t="s">
        <v>8</v>
      </c>
      <c r="AF61" s="12"/>
      <c r="AH61" s="33" t="s">
        <v>77</v>
      </c>
      <c r="AI61" s="34">
        <f>AI59+AI60</f>
        <v>4249788.4978489578</v>
      </c>
      <c r="AJ61" s="34">
        <f t="shared" ref="AJ61:AM61" si="59">AJ59+AJ60</f>
        <v>4249788.4978489578</v>
      </c>
      <c r="AK61" s="34">
        <f t="shared" si="59"/>
        <v>4249788.4978489578</v>
      </c>
      <c r="AL61" s="34">
        <f t="shared" si="59"/>
        <v>4249788.4978489578</v>
      </c>
      <c r="AM61" s="34">
        <f t="shared" si="59"/>
        <v>4249788.4978489578</v>
      </c>
      <c r="AN61" s="33" t="s">
        <v>8</v>
      </c>
      <c r="AO61" s="12"/>
    </row>
    <row r="62" spans="2:41" x14ac:dyDescent="0.25">
      <c r="B62" s="59" t="s">
        <v>803</v>
      </c>
      <c r="C62" s="2">
        <v>5</v>
      </c>
      <c r="D62" s="2">
        <v>5</v>
      </c>
      <c r="E62" s="2">
        <v>5</v>
      </c>
      <c r="F62" s="2" t="s">
        <v>9</v>
      </c>
      <c r="G62" s="69"/>
      <c r="I62" s="12" t="s">
        <v>605</v>
      </c>
      <c r="J62" s="22">
        <f>J15</f>
        <v>50000000000</v>
      </c>
      <c r="K62" s="22">
        <f>K15</f>
        <v>29620000000</v>
      </c>
      <c r="L62" s="22">
        <f>L15</f>
        <v>15000000000</v>
      </c>
      <c r="M62" s="12" t="s">
        <v>6</v>
      </c>
      <c r="N62" s="12"/>
      <c r="P62" s="12" t="s">
        <v>605</v>
      </c>
      <c r="Q62" s="22">
        <f>Q15</f>
        <v>50000000000</v>
      </c>
      <c r="R62" s="22">
        <f>R15</f>
        <v>50000000000</v>
      </c>
      <c r="S62" s="22">
        <f>S15</f>
        <v>50000000000</v>
      </c>
      <c r="T62" s="22">
        <f>T15</f>
        <v>50000000000</v>
      </c>
      <c r="U62" s="22">
        <f>U15</f>
        <v>50000000000</v>
      </c>
      <c r="V62" s="12" t="s">
        <v>6</v>
      </c>
      <c r="W62" s="12"/>
      <c r="Y62" s="12" t="s">
        <v>605</v>
      </c>
      <c r="Z62" s="22">
        <f>Z15</f>
        <v>29620000000</v>
      </c>
      <c r="AA62" s="22">
        <f>AA15</f>
        <v>29620000000</v>
      </c>
      <c r="AB62" s="22">
        <f>AB15</f>
        <v>29620000000</v>
      </c>
      <c r="AC62" s="22">
        <f>AC15</f>
        <v>29620000000</v>
      </c>
      <c r="AD62" s="22">
        <f>AD15</f>
        <v>29620000000</v>
      </c>
      <c r="AE62" s="12" t="s">
        <v>6</v>
      </c>
      <c r="AF62" s="12"/>
      <c r="AH62" s="12" t="s">
        <v>605</v>
      </c>
      <c r="AI62" s="22">
        <f>AI15</f>
        <v>15000000000</v>
      </c>
      <c r="AJ62" s="22">
        <f>AJ15</f>
        <v>15000000000</v>
      </c>
      <c r="AK62" s="22">
        <f>AK15</f>
        <v>15000000000</v>
      </c>
      <c r="AL62" s="22">
        <f>AL15</f>
        <v>15000000000</v>
      </c>
      <c r="AM62" s="22">
        <f>AM15</f>
        <v>15000000000</v>
      </c>
      <c r="AN62" s="12" t="s">
        <v>6</v>
      </c>
      <c r="AO62" s="99"/>
    </row>
    <row r="63" spans="2:41" x14ac:dyDescent="0.25">
      <c r="B63" s="33" t="s">
        <v>260</v>
      </c>
      <c r="C63" s="35">
        <f>C57*C10</f>
        <v>12000000000</v>
      </c>
      <c r="D63" s="35">
        <f>D57*D10</f>
        <v>14600000000</v>
      </c>
      <c r="E63" s="35">
        <f>E57*E10</f>
        <v>17800000000</v>
      </c>
      <c r="F63" s="33" t="s">
        <v>6</v>
      </c>
      <c r="G63" s="33"/>
      <c r="I63" s="12" t="s">
        <v>606</v>
      </c>
      <c r="J63" s="22">
        <f>J36</f>
        <v>24470588235.294117</v>
      </c>
      <c r="K63" s="22">
        <f>K36</f>
        <v>28314136125.654453</v>
      </c>
      <c r="L63" s="22">
        <f>L36</f>
        <v>32613240418.118465</v>
      </c>
      <c r="M63" s="12" t="s">
        <v>6</v>
      </c>
      <c r="N63" s="12"/>
      <c r="P63" s="12" t="s">
        <v>606</v>
      </c>
      <c r="Q63" s="22">
        <f>Q36</f>
        <v>24470588235.294117</v>
      </c>
      <c r="R63" s="22">
        <f>R36</f>
        <v>24470588235.294117</v>
      </c>
      <c r="S63" s="22">
        <f>S36</f>
        <v>24470588235.294117</v>
      </c>
      <c r="T63" s="22">
        <f>T36</f>
        <v>24470588235.294117</v>
      </c>
      <c r="U63" s="22">
        <f>U36</f>
        <v>24470588235.294117</v>
      </c>
      <c r="V63" s="12" t="s">
        <v>6</v>
      </c>
      <c r="W63" s="12"/>
      <c r="Y63" s="12" t="s">
        <v>606</v>
      </c>
      <c r="Z63" s="22">
        <f>Z36</f>
        <v>28314136125.654453</v>
      </c>
      <c r="AA63" s="22">
        <f>AA36</f>
        <v>28314136125.654453</v>
      </c>
      <c r="AB63" s="22">
        <f>AB36</f>
        <v>28314136125.654453</v>
      </c>
      <c r="AC63" s="22">
        <f>AC36</f>
        <v>28314136125.654453</v>
      </c>
      <c r="AD63" s="22">
        <f>AD36</f>
        <v>28314136125.654453</v>
      </c>
      <c r="AE63" s="12" t="s">
        <v>6</v>
      </c>
      <c r="AF63" s="12"/>
      <c r="AH63" s="12" t="s">
        <v>606</v>
      </c>
      <c r="AI63" s="22">
        <f>AI36</f>
        <v>32613240418.118465</v>
      </c>
      <c r="AJ63" s="22">
        <f>AJ36</f>
        <v>32613240418.118465</v>
      </c>
      <c r="AK63" s="22">
        <f>AK36</f>
        <v>32613240418.118465</v>
      </c>
      <c r="AL63" s="22">
        <f>AL36</f>
        <v>32613240418.118465</v>
      </c>
      <c r="AM63" s="22">
        <f>AM36</f>
        <v>32613240418.118465</v>
      </c>
      <c r="AN63" s="12" t="s">
        <v>6</v>
      </c>
      <c r="AO63" s="12"/>
    </row>
    <row r="64" spans="2:41" x14ac:dyDescent="0.25">
      <c r="B64" s="12" t="s">
        <v>388</v>
      </c>
      <c r="C64" s="24">
        <f>C58*C10</f>
        <v>360000000</v>
      </c>
      <c r="D64" s="24">
        <f>D58*D10</f>
        <v>360000000</v>
      </c>
      <c r="E64" s="24">
        <f>E58*E10</f>
        <v>360000000</v>
      </c>
      <c r="F64" s="12" t="s">
        <v>10</v>
      </c>
      <c r="G64" s="12"/>
      <c r="I64" s="98" t="s">
        <v>607</v>
      </c>
      <c r="J64" s="22">
        <f>J53</f>
        <v>271220597.54921699</v>
      </c>
      <c r="K64" s="22">
        <f>K53</f>
        <v>137061403.94244277</v>
      </c>
      <c r="L64" s="22">
        <f>L53</f>
        <v>49455444.708542347</v>
      </c>
      <c r="M64" s="12" t="s">
        <v>6</v>
      </c>
      <c r="N64" s="12"/>
      <c r="P64" s="98" t="s">
        <v>607</v>
      </c>
      <c r="Q64" s="22">
        <f>Q53</f>
        <v>271220597.54921699</v>
      </c>
      <c r="R64" s="22">
        <f>R53</f>
        <v>271220597.54921699</v>
      </c>
      <c r="S64" s="22">
        <f>S53</f>
        <v>271220597.54921699</v>
      </c>
      <c r="T64" s="22">
        <f>T53</f>
        <v>271220597.54921699</v>
      </c>
      <c r="U64" s="22">
        <f>U53</f>
        <v>271220597.54921699</v>
      </c>
      <c r="V64" s="12" t="s">
        <v>6</v>
      </c>
      <c r="W64" s="12"/>
      <c r="Y64" s="98" t="s">
        <v>607</v>
      </c>
      <c r="Z64" s="22">
        <f>Z53</f>
        <v>137061403.94244277</v>
      </c>
      <c r="AA64" s="22">
        <f>AA53</f>
        <v>137061403.94244277</v>
      </c>
      <c r="AB64" s="22">
        <f>AB53</f>
        <v>137061403.94244277</v>
      </c>
      <c r="AC64" s="22">
        <f>AC53</f>
        <v>137061403.94244277</v>
      </c>
      <c r="AD64" s="22">
        <f>AD53</f>
        <v>137061403.94244277</v>
      </c>
      <c r="AE64" s="12" t="s">
        <v>6</v>
      </c>
      <c r="AF64" s="12"/>
      <c r="AH64" s="98" t="s">
        <v>607</v>
      </c>
      <c r="AI64" s="22">
        <f>AI53</f>
        <v>49455444.708542347</v>
      </c>
      <c r="AJ64" s="22">
        <f>AJ53</f>
        <v>49455444.708542347</v>
      </c>
      <c r="AK64" s="22">
        <f>AK53</f>
        <v>49455444.708542347</v>
      </c>
      <c r="AL64" s="22">
        <f>AL53</f>
        <v>49455444.708542347</v>
      </c>
      <c r="AM64" s="22">
        <f>AM53</f>
        <v>49455444.708542347</v>
      </c>
      <c r="AN64" s="12" t="s">
        <v>6</v>
      </c>
      <c r="AO64" s="12"/>
    </row>
    <row r="65" spans="2:41" x14ac:dyDescent="0.25">
      <c r="B65" s="12" t="s">
        <v>424</v>
      </c>
      <c r="C65" s="24">
        <f>C59*C10</f>
        <v>170000000</v>
      </c>
      <c r="D65" s="24">
        <f>D59*D10</f>
        <v>216967865.62500003</v>
      </c>
      <c r="E65" s="24">
        <f>E59*E10</f>
        <v>276912086.55216509</v>
      </c>
      <c r="F65" s="12" t="s">
        <v>10</v>
      </c>
      <c r="G65" s="12"/>
      <c r="I65" s="12" t="s">
        <v>608</v>
      </c>
      <c r="J65" s="22">
        <f>J58*SUM(J62:J64)/(1-J58)</f>
        <v>32032203785.504284</v>
      </c>
      <c r="K65" s="22">
        <f>K58*SUM(K62:K64)/(1-K58)</f>
        <v>19357065843.198963</v>
      </c>
      <c r="L65" s="22">
        <f>L58*SUM(L62:L64)/(1-L58)</f>
        <v>11915673965.706753</v>
      </c>
      <c r="M65" s="12" t="s">
        <v>6</v>
      </c>
      <c r="N65" s="12"/>
      <c r="P65" s="12" t="s">
        <v>608</v>
      </c>
      <c r="Q65" s="22">
        <f>Q58*SUM(Q62:Q64)/(1-Q58)</f>
        <v>32032203785.504284</v>
      </c>
      <c r="R65" s="22">
        <f>R58*SUM(R62:R64)/(1-R58)</f>
        <v>32032203785.504284</v>
      </c>
      <c r="S65" s="22">
        <f>S58*SUM(S62:S64)/(1-S58)</f>
        <v>32032203785.504284</v>
      </c>
      <c r="T65" s="22">
        <f>T58*SUM(T62:T64)/(1-T58)</f>
        <v>32032203785.504284</v>
      </c>
      <c r="U65" s="22">
        <f>U58*SUM(U62:U64)/(1-U58)</f>
        <v>32032203785.504284</v>
      </c>
      <c r="V65" s="12" t="s">
        <v>6</v>
      </c>
      <c r="W65" s="12"/>
      <c r="Y65" s="12" t="s">
        <v>608</v>
      </c>
      <c r="Z65" s="22">
        <f>Z58*SUM(Z62:Z64)/(1-Z58)</f>
        <v>19357065843.198963</v>
      </c>
      <c r="AA65" s="22">
        <f>AA58*SUM(AA62:AA64)/(1-AA58)</f>
        <v>19357065843.198963</v>
      </c>
      <c r="AB65" s="22">
        <f>AB58*SUM(AB62:AB64)/(1-AB58)</f>
        <v>19357065843.198963</v>
      </c>
      <c r="AC65" s="22">
        <f>AC58*SUM(AC62:AC64)/(1-AC58)</f>
        <v>19357065843.198963</v>
      </c>
      <c r="AD65" s="22">
        <f>AD58*SUM(AD62:AD64)/(1-AD58)</f>
        <v>19357065843.198963</v>
      </c>
      <c r="AE65" s="12" t="s">
        <v>6</v>
      </c>
      <c r="AF65" s="12"/>
      <c r="AH65" s="12" t="s">
        <v>608</v>
      </c>
      <c r="AI65" s="22">
        <f>AI58*SUM(AI62:AI64)/(1-AI58)</f>
        <v>11915673965.706753</v>
      </c>
      <c r="AJ65" s="22">
        <f>AJ58*SUM(AJ62:AJ64)/(1-AJ58)</f>
        <v>11915673965.706753</v>
      </c>
      <c r="AK65" s="22">
        <f>AK58*SUM(AK62:AK64)/(1-AK58)</f>
        <v>11915673965.706753</v>
      </c>
      <c r="AL65" s="22">
        <f>AL58*SUM(AL62:AL64)/(1-AL58)</f>
        <v>11915673965.706753</v>
      </c>
      <c r="AM65" s="22">
        <f>AM58*SUM(AM62:AM64)/(1-AM58)</f>
        <v>11915673965.706753</v>
      </c>
      <c r="AN65" s="12" t="s">
        <v>6</v>
      </c>
      <c r="AO65" s="12"/>
    </row>
    <row r="66" spans="2:41" x14ac:dyDescent="0.25">
      <c r="B66" s="98" t="s">
        <v>674</v>
      </c>
      <c r="C66" s="24">
        <f>C35</f>
        <v>23529411764.705879</v>
      </c>
      <c r="D66" s="24">
        <f>D35</f>
        <v>27225130890.052357</v>
      </c>
      <c r="E66" s="24">
        <f>E35</f>
        <v>31358885017.421604</v>
      </c>
      <c r="F66" s="12" t="s">
        <v>6</v>
      </c>
      <c r="G66" s="12" t="s">
        <v>48</v>
      </c>
      <c r="I66" s="33" t="s">
        <v>609</v>
      </c>
      <c r="J66" s="35">
        <f>SUM(J62:J65)</f>
        <v>106774012618.34761</v>
      </c>
      <c r="K66" s="35">
        <f t="shared" ref="K66:L66" si="60">SUM(K62:K65)</f>
        <v>77428263372.795853</v>
      </c>
      <c r="L66" s="35">
        <f t="shared" si="60"/>
        <v>59578369828.533768</v>
      </c>
      <c r="M66" s="33" t="s">
        <v>6</v>
      </c>
      <c r="N66" s="12"/>
      <c r="P66" s="33" t="s">
        <v>609</v>
      </c>
      <c r="Q66" s="35">
        <f>SUM(Q62:Q65)</f>
        <v>106774012618.34761</v>
      </c>
      <c r="R66" s="35">
        <f>SUM(R62:R65)</f>
        <v>106774012618.34761</v>
      </c>
      <c r="S66" s="35">
        <f>SUM(S62:S65)</f>
        <v>106774012618.34761</v>
      </c>
      <c r="T66" s="35">
        <f>SUM(T62:T65)</f>
        <v>106774012618.34761</v>
      </c>
      <c r="U66" s="35">
        <f>SUM(U62:U65)</f>
        <v>106774012618.34761</v>
      </c>
      <c r="V66" s="33" t="s">
        <v>6</v>
      </c>
      <c r="W66" s="12"/>
      <c r="Y66" s="33" t="s">
        <v>609</v>
      </c>
      <c r="Z66" s="35">
        <f>SUM(Z62:Z65)</f>
        <v>77428263372.795853</v>
      </c>
      <c r="AA66" s="35">
        <f t="shared" ref="AA66:AD66" si="61">SUM(AA62:AA65)</f>
        <v>77428263372.795853</v>
      </c>
      <c r="AB66" s="35">
        <f t="shared" si="61"/>
        <v>77428263372.795853</v>
      </c>
      <c r="AC66" s="35">
        <f t="shared" si="61"/>
        <v>77428263372.795853</v>
      </c>
      <c r="AD66" s="35">
        <f t="shared" si="61"/>
        <v>77428263372.795853</v>
      </c>
      <c r="AE66" s="33" t="s">
        <v>6</v>
      </c>
      <c r="AF66" s="12"/>
      <c r="AH66" s="33" t="s">
        <v>609</v>
      </c>
      <c r="AI66" s="35">
        <f>SUM(AI62:AI65)</f>
        <v>59578369828.533768</v>
      </c>
      <c r="AJ66" s="35">
        <f t="shared" ref="AJ66:AM66" si="62">SUM(AJ62:AJ65)</f>
        <v>59578369828.533768</v>
      </c>
      <c r="AK66" s="35">
        <f t="shared" si="62"/>
        <v>59578369828.533768</v>
      </c>
      <c r="AL66" s="35">
        <f t="shared" si="62"/>
        <v>59578369828.533768</v>
      </c>
      <c r="AM66" s="35">
        <f t="shared" si="62"/>
        <v>59578369828.533768</v>
      </c>
      <c r="AN66" s="33" t="s">
        <v>6</v>
      </c>
      <c r="AO66" s="12"/>
    </row>
    <row r="67" spans="2:41" x14ac:dyDescent="0.25">
      <c r="B67" s="98" t="s">
        <v>735</v>
      </c>
      <c r="C67" s="24">
        <f>C66/C62</f>
        <v>4705882352.9411755</v>
      </c>
      <c r="D67" s="24">
        <f>D66/D62</f>
        <v>5445026178.0104713</v>
      </c>
      <c r="E67" s="24">
        <f>E66/E62</f>
        <v>6271777003.4843206</v>
      </c>
      <c r="F67" s="12" t="s">
        <v>10</v>
      </c>
      <c r="G67" s="12"/>
      <c r="I67" s="2" t="s">
        <v>116</v>
      </c>
      <c r="J67" s="25">
        <f>'ODC Metrics'!$F$15</f>
        <v>17500</v>
      </c>
      <c r="K67" s="25">
        <f>'ODC Metrics'!G15</f>
        <v>100000</v>
      </c>
      <c r="L67" s="25">
        <f>'ODC Metrics'!H15</f>
        <v>200000</v>
      </c>
      <c r="M67" s="2" t="s">
        <v>40</v>
      </c>
      <c r="N67" s="5"/>
      <c r="P67" s="2" t="s">
        <v>116</v>
      </c>
      <c r="Q67" s="25">
        <f>'ODC Metrics'!$F$15</f>
        <v>17500</v>
      </c>
      <c r="R67" s="25">
        <f>'ODC Metrics'!$F$15</f>
        <v>17500</v>
      </c>
      <c r="S67" s="25">
        <f>'ODC Metrics'!$F$15</f>
        <v>17500</v>
      </c>
      <c r="T67" s="25">
        <f>'ODC Metrics'!$F$15</f>
        <v>17500</v>
      </c>
      <c r="U67" s="25">
        <f>'ODC Metrics'!$F$15</f>
        <v>17500</v>
      </c>
      <c r="V67" s="2" t="s">
        <v>40</v>
      </c>
      <c r="W67" s="5"/>
      <c r="Y67" s="2" t="s">
        <v>116</v>
      </c>
      <c r="Z67" s="25">
        <f>'ODC Metrics'!$G$15</f>
        <v>100000</v>
      </c>
      <c r="AA67" s="25">
        <f>'ODC Metrics'!$G$15</f>
        <v>100000</v>
      </c>
      <c r="AB67" s="25">
        <f>'ODC Metrics'!$G$15</f>
        <v>100000</v>
      </c>
      <c r="AC67" s="25">
        <f>'ODC Metrics'!$G$15</f>
        <v>100000</v>
      </c>
      <c r="AD67" s="25">
        <f>'ODC Metrics'!$G$15</f>
        <v>100000</v>
      </c>
      <c r="AE67" s="2" t="s">
        <v>40</v>
      </c>
      <c r="AF67" s="5"/>
      <c r="AH67" s="2" t="s">
        <v>116</v>
      </c>
      <c r="AI67" s="25">
        <f>'ODC Metrics'!$H$15</f>
        <v>200000</v>
      </c>
      <c r="AJ67" s="25">
        <f>'ODC Metrics'!$H$15</f>
        <v>200000</v>
      </c>
      <c r="AK67" s="25">
        <f>'ODC Metrics'!$H$15</f>
        <v>200000</v>
      </c>
      <c r="AL67" s="25">
        <f>'ODC Metrics'!$H$15</f>
        <v>200000</v>
      </c>
      <c r="AM67" s="25">
        <f>'ODC Metrics'!$H$15</f>
        <v>200000</v>
      </c>
      <c r="AN67" s="2" t="s">
        <v>40</v>
      </c>
      <c r="AO67" s="5"/>
    </row>
    <row r="68" spans="2:41" x14ac:dyDescent="0.25">
      <c r="B68" s="33" t="s">
        <v>111</v>
      </c>
      <c r="C68" s="35">
        <f>C64+C65+C67</f>
        <v>5235882352.9411755</v>
      </c>
      <c r="D68" s="35">
        <f t="shared" ref="D68:E68" si="63">D64+D65+D67</f>
        <v>6021994043.6354713</v>
      </c>
      <c r="E68" s="35">
        <f t="shared" si="63"/>
        <v>6908689090.0364857</v>
      </c>
      <c r="F68" s="33" t="s">
        <v>10</v>
      </c>
      <c r="G68" s="33"/>
      <c r="I68" s="2" t="s">
        <v>621</v>
      </c>
      <c r="J68" s="10">
        <f>'ODC Metrics'!$F$16</f>
        <v>70000000</v>
      </c>
      <c r="K68" s="10">
        <f>'ODC Metrics'!G16</f>
        <v>90000000</v>
      </c>
      <c r="L68" s="10">
        <f>'ODC Metrics'!H16</f>
        <v>20000000</v>
      </c>
      <c r="M68" s="2" t="s">
        <v>6</v>
      </c>
      <c r="N68" s="5" t="s">
        <v>83</v>
      </c>
      <c r="P68" s="2" t="s">
        <v>621</v>
      </c>
      <c r="Q68" s="10">
        <f>Q67*Q5</f>
        <v>70000000</v>
      </c>
      <c r="R68" s="10">
        <f>R67*R5</f>
        <v>52500000</v>
      </c>
      <c r="S68" s="10">
        <f>S67*S5</f>
        <v>35000000</v>
      </c>
      <c r="T68" s="10">
        <f>T67*T5</f>
        <v>17500000</v>
      </c>
      <c r="U68" s="10">
        <f>U67*U5</f>
        <v>0</v>
      </c>
      <c r="V68" s="2" t="s">
        <v>6</v>
      </c>
      <c r="W68" s="5" t="s">
        <v>83</v>
      </c>
      <c r="Y68" s="2" t="s">
        <v>621</v>
      </c>
      <c r="Z68" s="10">
        <f>Z67*Z5</f>
        <v>400000000</v>
      </c>
      <c r="AA68" s="10">
        <f>AA67*AA5</f>
        <v>300000000</v>
      </c>
      <c r="AB68" s="10">
        <f>AB67*AB5</f>
        <v>200000000</v>
      </c>
      <c r="AC68" s="10">
        <f>AC67*AC5</f>
        <v>100000000</v>
      </c>
      <c r="AD68" s="10">
        <f>AD67*AD5</f>
        <v>0</v>
      </c>
      <c r="AE68" s="2" t="s">
        <v>6</v>
      </c>
      <c r="AF68" s="5" t="s">
        <v>83</v>
      </c>
      <c r="AH68" s="2" t="s">
        <v>621</v>
      </c>
      <c r="AI68" s="10">
        <f>AI67*AI5</f>
        <v>800000000</v>
      </c>
      <c r="AJ68" s="10">
        <f>AJ67*AJ5</f>
        <v>600000000</v>
      </c>
      <c r="AK68" s="10">
        <f>AK67*AK5</f>
        <v>400000000</v>
      </c>
      <c r="AL68" s="10">
        <f>AL67*AL5</f>
        <v>200000000</v>
      </c>
      <c r="AM68" s="10">
        <f>AM67*AM5</f>
        <v>0</v>
      </c>
      <c r="AN68" s="2" t="s">
        <v>6</v>
      </c>
      <c r="AO68" s="5" t="s">
        <v>83</v>
      </c>
    </row>
    <row r="69" spans="2:41" x14ac:dyDescent="0.25">
      <c r="B69" s="33" t="s">
        <v>804</v>
      </c>
      <c r="C69" s="115">
        <f>C60</f>
        <v>3</v>
      </c>
      <c r="D69" s="115">
        <f>D60</f>
        <v>2</v>
      </c>
      <c r="E69" s="115">
        <f>E60</f>
        <v>1.5</v>
      </c>
      <c r="F69" s="33" t="s">
        <v>9</v>
      </c>
      <c r="G69" s="33"/>
      <c r="I69" s="2" t="s">
        <v>117</v>
      </c>
      <c r="J69" s="25">
        <f>'ODC Metrics'!$F$17</f>
        <v>167</v>
      </c>
      <c r="K69" s="25">
        <f>'ODC Metrics'!G17</f>
        <v>52</v>
      </c>
      <c r="L69" s="25">
        <f>'ODC Metrics'!H17</f>
        <v>365</v>
      </c>
      <c r="M69" s="2" t="s">
        <v>34</v>
      </c>
      <c r="N69" s="45"/>
      <c r="P69" s="2" t="s">
        <v>117</v>
      </c>
      <c r="Q69" s="25">
        <f>'ODC Metrics'!$F$17</f>
        <v>167</v>
      </c>
      <c r="R69" s="25">
        <f>'ODC Metrics'!$F$17</f>
        <v>167</v>
      </c>
      <c r="S69" s="25">
        <f>'ODC Metrics'!$F$17</f>
        <v>167</v>
      </c>
      <c r="T69" s="25">
        <f>'ODC Metrics'!$F$17</f>
        <v>167</v>
      </c>
      <c r="U69" s="25">
        <f>'ODC Metrics'!$F$17</f>
        <v>167</v>
      </c>
      <c r="V69" s="2" t="s">
        <v>34</v>
      </c>
      <c r="W69" s="45"/>
      <c r="Y69" s="2" t="s">
        <v>117</v>
      </c>
      <c r="Z69" s="25">
        <f>'ODC Metrics'!$G$17</f>
        <v>52</v>
      </c>
      <c r="AA69" s="25">
        <f>'ODC Metrics'!$G$17</f>
        <v>52</v>
      </c>
      <c r="AB69" s="25">
        <f>'ODC Metrics'!$G$17</f>
        <v>52</v>
      </c>
      <c r="AC69" s="25">
        <f>'ODC Metrics'!$G$17</f>
        <v>52</v>
      </c>
      <c r="AD69" s="25">
        <f>'ODC Metrics'!$G$17</f>
        <v>52</v>
      </c>
      <c r="AE69" s="2" t="s">
        <v>34</v>
      </c>
      <c r="AF69" s="45"/>
      <c r="AH69" s="2" t="s">
        <v>117</v>
      </c>
      <c r="AI69" s="25">
        <f>'ODC Metrics'!$H$17</f>
        <v>365</v>
      </c>
      <c r="AJ69" s="25">
        <f>'ODC Metrics'!$H$17</f>
        <v>365</v>
      </c>
      <c r="AK69" s="25">
        <f>'ODC Metrics'!$H$17</f>
        <v>365</v>
      </c>
      <c r="AL69" s="25">
        <f>'ODC Metrics'!$H$17</f>
        <v>365</v>
      </c>
      <c r="AM69" s="25">
        <f>'ODC Metrics'!$H$17</f>
        <v>365</v>
      </c>
      <c r="AN69" s="2" t="s">
        <v>34</v>
      </c>
      <c r="AO69" s="45"/>
    </row>
    <row r="70" spans="2:41" ht="30" x14ac:dyDescent="0.25">
      <c r="I70" s="2" t="s">
        <v>763</v>
      </c>
      <c r="J70" s="10">
        <f>'ODC Metrics'!$F$18</f>
        <v>250000000</v>
      </c>
      <c r="K70" s="10">
        <f>'ODC Metrics'!G18</f>
        <v>250000000</v>
      </c>
      <c r="L70" s="10">
        <f>'ODC Metrics'!H18</f>
        <v>250000000</v>
      </c>
      <c r="M70" s="2" t="s">
        <v>10</v>
      </c>
      <c r="N70" s="102" t="s">
        <v>764</v>
      </c>
      <c r="P70" s="2" t="s">
        <v>763</v>
      </c>
      <c r="Q70" s="10">
        <f>'ODC Metrics'!$F$18</f>
        <v>250000000</v>
      </c>
      <c r="R70" s="10">
        <f>'ODC Metrics'!$F$18</f>
        <v>250000000</v>
      </c>
      <c r="S70" s="10">
        <f>'ODC Metrics'!$F$18</f>
        <v>250000000</v>
      </c>
      <c r="T70" s="10">
        <f>'ODC Metrics'!$F$18</f>
        <v>250000000</v>
      </c>
      <c r="U70" s="10">
        <f>'ODC Metrics'!$F$18</f>
        <v>250000000</v>
      </c>
      <c r="V70" s="2" t="s">
        <v>10</v>
      </c>
      <c r="W70" s="102" t="s">
        <v>764</v>
      </c>
      <c r="Y70" s="2" t="s">
        <v>763</v>
      </c>
      <c r="Z70" s="10">
        <f>'ODC Metrics'!$G$18</f>
        <v>250000000</v>
      </c>
      <c r="AA70" s="10">
        <f>'ODC Metrics'!$G$18</f>
        <v>250000000</v>
      </c>
      <c r="AB70" s="10">
        <f>'ODC Metrics'!$G$18</f>
        <v>250000000</v>
      </c>
      <c r="AC70" s="10">
        <f>'ODC Metrics'!$G$18</f>
        <v>250000000</v>
      </c>
      <c r="AD70" s="10">
        <f>'ODC Metrics'!$G$18</f>
        <v>250000000</v>
      </c>
      <c r="AE70" s="2" t="s">
        <v>10</v>
      </c>
      <c r="AF70" s="102" t="s">
        <v>764</v>
      </c>
      <c r="AH70" s="2" t="s">
        <v>763</v>
      </c>
      <c r="AI70" s="10">
        <f>'ODC Metrics'!$H$18</f>
        <v>250000000</v>
      </c>
      <c r="AJ70" s="10">
        <f>'ODC Metrics'!$H$18</f>
        <v>250000000</v>
      </c>
      <c r="AK70" s="10">
        <f>'ODC Metrics'!$H$18</f>
        <v>250000000</v>
      </c>
      <c r="AL70" s="10">
        <f>'ODC Metrics'!$H$18</f>
        <v>250000000</v>
      </c>
      <c r="AM70" s="10">
        <f>'ODC Metrics'!$H$18</f>
        <v>250000000</v>
      </c>
      <c r="AN70" s="2" t="s">
        <v>10</v>
      </c>
      <c r="AO70" s="102" t="s">
        <v>764</v>
      </c>
    </row>
    <row r="71" spans="2:41" x14ac:dyDescent="0.25">
      <c r="I71" s="59" t="s">
        <v>120</v>
      </c>
      <c r="J71" s="2">
        <v>5</v>
      </c>
      <c r="K71" s="2">
        <v>5</v>
      </c>
      <c r="L71" s="2">
        <v>5</v>
      </c>
      <c r="M71" s="2" t="s">
        <v>9</v>
      </c>
      <c r="N71" s="2"/>
      <c r="P71" s="59" t="s">
        <v>120</v>
      </c>
      <c r="Q71" s="2">
        <v>5</v>
      </c>
      <c r="R71" s="2">
        <v>5</v>
      </c>
      <c r="S71" s="2">
        <v>5</v>
      </c>
      <c r="T71" s="2">
        <v>5</v>
      </c>
      <c r="U71" s="2">
        <v>5</v>
      </c>
      <c r="V71" s="2" t="s">
        <v>9</v>
      </c>
      <c r="W71" s="2"/>
      <c r="Y71" s="59" t="s">
        <v>120</v>
      </c>
      <c r="Z71" s="2">
        <v>5</v>
      </c>
      <c r="AA71" s="2">
        <v>5</v>
      </c>
      <c r="AB71" s="2">
        <v>5</v>
      </c>
      <c r="AC71" s="2">
        <v>5</v>
      </c>
      <c r="AD71" s="2">
        <v>5</v>
      </c>
      <c r="AE71" s="2" t="s">
        <v>9</v>
      </c>
      <c r="AF71" s="2"/>
      <c r="AH71" s="59" t="s">
        <v>120</v>
      </c>
      <c r="AI71" s="2">
        <v>5</v>
      </c>
      <c r="AJ71" s="2">
        <v>5</v>
      </c>
      <c r="AK71" s="2">
        <v>5</v>
      </c>
      <c r="AL71" s="2">
        <v>5</v>
      </c>
      <c r="AM71" s="2">
        <v>5</v>
      </c>
      <c r="AN71" s="2" t="s">
        <v>9</v>
      </c>
      <c r="AO71" s="2"/>
    </row>
    <row r="72" spans="2:41" x14ac:dyDescent="0.25">
      <c r="I72" s="12" t="s">
        <v>36</v>
      </c>
      <c r="J72" s="19">
        <f>J61/J67</f>
        <v>1874.7262275474015</v>
      </c>
      <c r="K72" s="19">
        <f>K61/K67</f>
        <v>135.62264527691684</v>
      </c>
      <c r="L72" s="19">
        <f>L61/L67</f>
        <v>21.24894248924479</v>
      </c>
      <c r="M72" s="12" t="s">
        <v>33</v>
      </c>
      <c r="N72" s="48"/>
      <c r="P72" s="12" t="s">
        <v>36</v>
      </c>
      <c r="Q72" s="19">
        <f>Q61/Q67</f>
        <v>1874.7262275474015</v>
      </c>
      <c r="R72" s="19">
        <f>R61/R67</f>
        <v>1874.7262275474015</v>
      </c>
      <c r="S72" s="19">
        <f>S61/S67</f>
        <v>1874.7262275474015</v>
      </c>
      <c r="T72" s="19">
        <f>T61/T67</f>
        <v>1874.7262275474015</v>
      </c>
      <c r="U72" s="19">
        <f>U61/U67</f>
        <v>1874.7262275474015</v>
      </c>
      <c r="V72" s="12" t="s">
        <v>33</v>
      </c>
      <c r="W72" s="48"/>
      <c r="Y72" s="12" t="s">
        <v>36</v>
      </c>
      <c r="Z72" s="19">
        <f>Z61/Z67</f>
        <v>135.62264527691684</v>
      </c>
      <c r="AA72" s="19">
        <f t="shared" ref="AA72:AD72" si="64">AA61/AA67</f>
        <v>135.62264527691684</v>
      </c>
      <c r="AB72" s="19">
        <f t="shared" si="64"/>
        <v>135.62264527691684</v>
      </c>
      <c r="AC72" s="19">
        <f t="shared" si="64"/>
        <v>135.62264527691684</v>
      </c>
      <c r="AD72" s="19">
        <f t="shared" si="64"/>
        <v>135.62264527691684</v>
      </c>
      <c r="AE72" s="12" t="s">
        <v>33</v>
      </c>
      <c r="AF72" s="48"/>
      <c r="AH72" s="12" t="s">
        <v>36</v>
      </c>
      <c r="AI72" s="19">
        <f>AI61/AI67</f>
        <v>21.24894248924479</v>
      </c>
      <c r="AJ72" s="19">
        <f t="shared" ref="AJ72:AM72" si="65">AJ61/AJ67</f>
        <v>21.24894248924479</v>
      </c>
      <c r="AK72" s="19">
        <f t="shared" si="65"/>
        <v>21.24894248924479</v>
      </c>
      <c r="AL72" s="19">
        <f t="shared" si="65"/>
        <v>21.24894248924479</v>
      </c>
      <c r="AM72" s="19">
        <f t="shared" si="65"/>
        <v>21.24894248924479</v>
      </c>
      <c r="AN72" s="12" t="s">
        <v>33</v>
      </c>
      <c r="AO72" s="48"/>
    </row>
    <row r="73" spans="2:41" x14ac:dyDescent="0.25">
      <c r="I73" s="12" t="s">
        <v>37</v>
      </c>
      <c r="J73" s="22">
        <f>J68*J72</f>
        <v>131230835928.31812</v>
      </c>
      <c r="K73" s="22">
        <f t="shared" ref="K73:L73" si="66">K68*K72</f>
        <v>12206038074.922516</v>
      </c>
      <c r="L73" s="22">
        <f t="shared" si="66"/>
        <v>424978849.78489578</v>
      </c>
      <c r="M73" s="12" t="s">
        <v>6</v>
      </c>
      <c r="N73" s="21" t="s">
        <v>67</v>
      </c>
      <c r="P73" s="12" t="s">
        <v>37</v>
      </c>
      <c r="Q73" s="22">
        <f>Q68*Q72</f>
        <v>131230835928.31812</v>
      </c>
      <c r="R73" s="22">
        <f>R68*R72</f>
        <v>98423126946.238586</v>
      </c>
      <c r="S73" s="22">
        <f>S68*S72</f>
        <v>65615417964.159058</v>
      </c>
      <c r="T73" s="22">
        <f>T68*T72</f>
        <v>32807708982.079529</v>
      </c>
      <c r="U73" s="22">
        <f>U68*U72</f>
        <v>0</v>
      </c>
      <c r="V73" s="12" t="s">
        <v>6</v>
      </c>
      <c r="W73" s="21" t="s">
        <v>67</v>
      </c>
      <c r="Y73" s="12" t="s">
        <v>37</v>
      </c>
      <c r="Z73" s="22">
        <f>Z68*Z72</f>
        <v>54249058110.766739</v>
      </c>
      <c r="AA73" s="22">
        <f t="shared" ref="AA73:AD73" si="67">AA68*AA72</f>
        <v>40686793583.07505</v>
      </c>
      <c r="AB73" s="22">
        <f t="shared" si="67"/>
        <v>27124529055.383369</v>
      </c>
      <c r="AC73" s="22">
        <f t="shared" si="67"/>
        <v>13562264527.691685</v>
      </c>
      <c r="AD73" s="22">
        <f t="shared" si="67"/>
        <v>0</v>
      </c>
      <c r="AE73" s="12" t="s">
        <v>6</v>
      </c>
      <c r="AF73" s="21" t="s">
        <v>67</v>
      </c>
      <c r="AH73" s="12" t="s">
        <v>37</v>
      </c>
      <c r="AI73" s="22">
        <f>AI68*AI72</f>
        <v>16999153991.395832</v>
      </c>
      <c r="AJ73" s="22">
        <f t="shared" ref="AJ73:AM73" si="68">AJ68*AJ72</f>
        <v>12749365493.546873</v>
      </c>
      <c r="AK73" s="22">
        <f t="shared" si="68"/>
        <v>8499576995.697916</v>
      </c>
      <c r="AL73" s="22">
        <f t="shared" si="68"/>
        <v>4249788497.848958</v>
      </c>
      <c r="AM73" s="22">
        <f t="shared" si="68"/>
        <v>0</v>
      </c>
      <c r="AN73" s="12" t="s">
        <v>6</v>
      </c>
      <c r="AO73" s="21" t="s">
        <v>67</v>
      </c>
    </row>
    <row r="74" spans="2:41" x14ac:dyDescent="0.25">
      <c r="I74" s="33" t="s">
        <v>110</v>
      </c>
      <c r="J74" s="35">
        <f>J73+J65</f>
        <v>163263039713.82239</v>
      </c>
      <c r="K74" s="35">
        <f>K73+K65</f>
        <v>31563103918.121479</v>
      </c>
      <c r="L74" s="35">
        <f>L73+L65</f>
        <v>12340652815.491648</v>
      </c>
      <c r="M74" s="33" t="s">
        <v>6</v>
      </c>
      <c r="N74" s="38"/>
      <c r="P74" s="33" t="s">
        <v>110</v>
      </c>
      <c r="Q74" s="35">
        <f>Q73+Q65</f>
        <v>163263039713.82239</v>
      </c>
      <c r="R74" s="35">
        <f>R73+R65</f>
        <v>130455330731.74287</v>
      </c>
      <c r="S74" s="35">
        <f>S73+S65</f>
        <v>97647621749.663345</v>
      </c>
      <c r="T74" s="35">
        <f>T73+T65</f>
        <v>64839912767.583817</v>
      </c>
      <c r="U74" s="35">
        <f>U73+U65</f>
        <v>32032203785.504284</v>
      </c>
      <c r="V74" s="33" t="s">
        <v>6</v>
      </c>
      <c r="W74" s="38"/>
      <c r="Y74" s="33" t="s">
        <v>110</v>
      </c>
      <c r="Z74" s="35">
        <f>Z73+Z65</f>
        <v>73606123953.965698</v>
      </c>
      <c r="AA74" s="35">
        <f t="shared" ref="AA74:AD74" si="69">AA73+AA65</f>
        <v>60043859426.274017</v>
      </c>
      <c r="AB74" s="35">
        <f t="shared" si="69"/>
        <v>46481594898.582336</v>
      </c>
      <c r="AC74" s="35">
        <f t="shared" si="69"/>
        <v>32919330370.890648</v>
      </c>
      <c r="AD74" s="35">
        <f t="shared" si="69"/>
        <v>19357065843.198963</v>
      </c>
      <c r="AE74" s="33" t="s">
        <v>6</v>
      </c>
      <c r="AF74" s="38"/>
      <c r="AH74" s="33" t="s">
        <v>110</v>
      </c>
      <c r="AI74" s="35">
        <f>AI73+AI65</f>
        <v>28914827957.102585</v>
      </c>
      <c r="AJ74" s="35">
        <f t="shared" ref="AJ74:AM74" si="70">AJ73+AJ65</f>
        <v>24665039459.253624</v>
      </c>
      <c r="AK74" s="35">
        <f t="shared" si="70"/>
        <v>20415250961.404671</v>
      </c>
      <c r="AL74" s="35">
        <f t="shared" si="70"/>
        <v>16165462463.55571</v>
      </c>
      <c r="AM74" s="35">
        <f t="shared" si="70"/>
        <v>11915673965.706753</v>
      </c>
      <c r="AN74" s="33" t="s">
        <v>6</v>
      </c>
      <c r="AO74" s="38"/>
    </row>
    <row r="75" spans="2:41" x14ac:dyDescent="0.25">
      <c r="I75" s="98" t="s">
        <v>674</v>
      </c>
      <c r="J75" s="24">
        <f>J74</f>
        <v>163263039713.82239</v>
      </c>
      <c r="K75" s="24">
        <f>K74</f>
        <v>31563103918.121479</v>
      </c>
      <c r="L75" s="24">
        <f>L74</f>
        <v>12340652815.491648</v>
      </c>
      <c r="M75" s="12" t="s">
        <v>6</v>
      </c>
      <c r="N75" s="12" t="s">
        <v>124</v>
      </c>
      <c r="P75" s="98" t="s">
        <v>674</v>
      </c>
      <c r="Q75" s="24">
        <f>Q74</f>
        <v>163263039713.82239</v>
      </c>
      <c r="R75" s="24">
        <f>R74</f>
        <v>130455330731.74287</v>
      </c>
      <c r="S75" s="24">
        <f>S74</f>
        <v>97647621749.663345</v>
      </c>
      <c r="T75" s="24">
        <f>T74</f>
        <v>64839912767.583817</v>
      </c>
      <c r="U75" s="24">
        <f>U74</f>
        <v>32032203785.504284</v>
      </c>
      <c r="V75" s="12" t="s">
        <v>6</v>
      </c>
      <c r="W75" s="12" t="s">
        <v>124</v>
      </c>
      <c r="Y75" s="98" t="s">
        <v>674</v>
      </c>
      <c r="Z75" s="24">
        <f>Z74</f>
        <v>73606123953.965698</v>
      </c>
      <c r="AA75" s="24">
        <f>AA74</f>
        <v>60043859426.274017</v>
      </c>
      <c r="AB75" s="24">
        <f>AB74</f>
        <v>46481594898.582336</v>
      </c>
      <c r="AC75" s="24">
        <f>AC74</f>
        <v>32919330370.890648</v>
      </c>
      <c r="AD75" s="24">
        <f>AD74</f>
        <v>19357065843.198963</v>
      </c>
      <c r="AE75" s="12" t="s">
        <v>6</v>
      </c>
      <c r="AF75" s="12" t="s">
        <v>124</v>
      </c>
      <c r="AH75" s="98" t="s">
        <v>674</v>
      </c>
      <c r="AI75" s="24">
        <f>AI74</f>
        <v>28914827957.102585</v>
      </c>
      <c r="AJ75" s="24">
        <f>AJ74</f>
        <v>24665039459.253624</v>
      </c>
      <c r="AK75" s="24">
        <f>AK74</f>
        <v>20415250961.404671</v>
      </c>
      <c r="AL75" s="24">
        <f>AL74</f>
        <v>16165462463.55571</v>
      </c>
      <c r="AM75" s="24">
        <f>AM74</f>
        <v>11915673965.706753</v>
      </c>
      <c r="AN75" s="12" t="s">
        <v>6</v>
      </c>
      <c r="AO75" s="12" t="s">
        <v>124</v>
      </c>
    </row>
    <row r="76" spans="2:41" x14ac:dyDescent="0.25">
      <c r="I76" s="12" t="s">
        <v>735</v>
      </c>
      <c r="J76" s="24">
        <f>J75/J71</f>
        <v>32652607942.764477</v>
      </c>
      <c r="K76" s="24">
        <f>K75/K71</f>
        <v>6312620783.6242962</v>
      </c>
      <c r="L76" s="24">
        <f>L75/L71</f>
        <v>2468130563.0983295</v>
      </c>
      <c r="M76" s="12" t="s">
        <v>10</v>
      </c>
      <c r="N76" s="12"/>
      <c r="P76" s="12" t="s">
        <v>735</v>
      </c>
      <c r="Q76" s="24">
        <f>Q75/Q71</f>
        <v>32652607942.764477</v>
      </c>
      <c r="R76" s="24">
        <f>R75/R71</f>
        <v>26091066146.348576</v>
      </c>
      <c r="S76" s="24">
        <f>S75/S71</f>
        <v>19529524349.932671</v>
      </c>
      <c r="T76" s="24">
        <f>T75/T71</f>
        <v>12967982553.516764</v>
      </c>
      <c r="U76" s="24">
        <f>U75/U71</f>
        <v>6406440757.1008568</v>
      </c>
      <c r="V76" s="12" t="s">
        <v>10</v>
      </c>
      <c r="W76" s="12"/>
      <c r="Y76" s="12" t="s">
        <v>735</v>
      </c>
      <c r="Z76" s="24">
        <f>Z75/Z71</f>
        <v>14721224790.79314</v>
      </c>
      <c r="AA76" s="24">
        <f>AA75/AA71</f>
        <v>12008771885.254803</v>
      </c>
      <c r="AB76" s="24">
        <f>AB75/AB71</f>
        <v>9296318979.7164669</v>
      </c>
      <c r="AC76" s="24">
        <f>AC75/AC71</f>
        <v>6583866074.1781292</v>
      </c>
      <c r="AD76" s="24">
        <f>AD75/AD71</f>
        <v>3871413168.6397924</v>
      </c>
      <c r="AE76" s="12" t="s">
        <v>10</v>
      </c>
      <c r="AF76" s="12"/>
      <c r="AH76" s="12" t="s">
        <v>735</v>
      </c>
      <c r="AI76" s="24">
        <f>AI75/AI71</f>
        <v>5782965591.420517</v>
      </c>
      <c r="AJ76" s="24">
        <f>AJ75/AJ71</f>
        <v>4933007891.8507252</v>
      </c>
      <c r="AK76" s="24">
        <f>AK75/AK71</f>
        <v>4083050192.2809343</v>
      </c>
      <c r="AL76" s="24">
        <f>AL75/AL71</f>
        <v>3233092492.7111421</v>
      </c>
      <c r="AM76" s="24">
        <f>AM75/AM71</f>
        <v>2383134793.1413507</v>
      </c>
      <c r="AN76" s="12" t="s">
        <v>10</v>
      </c>
      <c r="AO76" s="12"/>
    </row>
    <row r="77" spans="2:41" x14ac:dyDescent="0.25">
      <c r="G77" s="145"/>
      <c r="I77" s="33" t="s">
        <v>111</v>
      </c>
      <c r="J77" s="35">
        <f>J70+J76</f>
        <v>32902607942.764477</v>
      </c>
      <c r="K77" s="35">
        <f>K70+K76</f>
        <v>6562620783.6242962</v>
      </c>
      <c r="L77" s="35">
        <f>L70+L76</f>
        <v>2718130563.0983295</v>
      </c>
      <c r="M77" s="33" t="s">
        <v>10</v>
      </c>
      <c r="N77" s="51"/>
      <c r="P77" s="33" t="s">
        <v>111</v>
      </c>
      <c r="Q77" s="35">
        <f>Q70+Q76</f>
        <v>32902607942.764477</v>
      </c>
      <c r="R77" s="35">
        <f>R70+R76</f>
        <v>26341066146.348576</v>
      </c>
      <c r="S77" s="35">
        <f>S70+S76</f>
        <v>19779524349.932671</v>
      </c>
      <c r="T77" s="35">
        <f>T70+T76</f>
        <v>13217982553.516764</v>
      </c>
      <c r="U77" s="35">
        <f>U70+U76</f>
        <v>6656440757.1008568</v>
      </c>
      <c r="V77" s="33" t="s">
        <v>10</v>
      </c>
      <c r="W77" s="51"/>
      <c r="Y77" s="33" t="s">
        <v>111</v>
      </c>
      <c r="Z77" s="35">
        <f>Z70+Z76</f>
        <v>14971224790.79314</v>
      </c>
      <c r="AA77" s="35">
        <f>AA70+AA76</f>
        <v>12258771885.254803</v>
      </c>
      <c r="AB77" s="35">
        <f>AB70+AB76</f>
        <v>9546318979.7164669</v>
      </c>
      <c r="AC77" s="35">
        <f>AC70+AC76</f>
        <v>6833866074.1781292</v>
      </c>
      <c r="AD77" s="35">
        <f>AD70+AD76</f>
        <v>4121413168.6397924</v>
      </c>
      <c r="AE77" s="33" t="s">
        <v>10</v>
      </c>
      <c r="AF77" s="51"/>
      <c r="AH77" s="33" t="s">
        <v>111</v>
      </c>
      <c r="AI77" s="35">
        <f>AI70+AI76</f>
        <v>6032965591.420517</v>
      </c>
      <c r="AJ77" s="35">
        <f>AJ70+AJ76</f>
        <v>5183007891.8507252</v>
      </c>
      <c r="AK77" s="35">
        <f>AK70+AK76</f>
        <v>4333050192.2809343</v>
      </c>
      <c r="AL77" s="35">
        <f>AL70+AL76</f>
        <v>3483092492.7111421</v>
      </c>
      <c r="AM77" s="35">
        <f>AM70+AM76</f>
        <v>2633134793.1413507</v>
      </c>
      <c r="AN77" s="33" t="s">
        <v>10</v>
      </c>
      <c r="AO77" s="51"/>
    </row>
    <row r="78" spans="2:41" x14ac:dyDescent="0.25">
      <c r="I78" s="33" t="s">
        <v>804</v>
      </c>
      <c r="J78" s="53">
        <f>J72/J69</f>
        <v>11.225905554176057</v>
      </c>
      <c r="K78" s="53">
        <f>K72/K69</f>
        <v>2.6081277937868625</v>
      </c>
      <c r="L78" s="53">
        <f>L72/L69</f>
        <v>5.8216280792451482E-2</v>
      </c>
      <c r="M78" s="33" t="s">
        <v>9</v>
      </c>
      <c r="N78" s="21" t="s">
        <v>112</v>
      </c>
      <c r="P78" s="33" t="s">
        <v>804</v>
      </c>
      <c r="Q78" s="53">
        <f>Q72/Q69</f>
        <v>11.225905554176057</v>
      </c>
      <c r="R78" s="53">
        <f>R72/R69</f>
        <v>11.225905554176057</v>
      </c>
      <c r="S78" s="53">
        <f>S72/S69</f>
        <v>11.225905554176057</v>
      </c>
      <c r="T78" s="53">
        <f>T72/T69</f>
        <v>11.225905554176057</v>
      </c>
      <c r="U78" s="53">
        <f>U72/U69</f>
        <v>11.225905554176057</v>
      </c>
      <c r="V78" s="33" t="s">
        <v>9</v>
      </c>
      <c r="W78" s="21" t="s">
        <v>112</v>
      </c>
      <c r="Y78" s="33" t="s">
        <v>804</v>
      </c>
      <c r="Z78" s="53">
        <f>Z72/Z69</f>
        <v>2.6081277937868625</v>
      </c>
      <c r="AA78" s="53">
        <f>AA72/AA69</f>
        <v>2.6081277937868625</v>
      </c>
      <c r="AB78" s="53">
        <f>AB72/AB69</f>
        <v>2.6081277937868625</v>
      </c>
      <c r="AC78" s="53">
        <f>AC72/AC69</f>
        <v>2.6081277937868625</v>
      </c>
      <c r="AD78" s="53">
        <f>AD72/AD69</f>
        <v>2.6081277937868625</v>
      </c>
      <c r="AE78" s="33" t="s">
        <v>9</v>
      </c>
      <c r="AF78" s="21" t="s">
        <v>112</v>
      </c>
      <c r="AH78" s="33" t="s">
        <v>804</v>
      </c>
      <c r="AI78" s="53">
        <f>AI72/AI69</f>
        <v>5.8216280792451482E-2</v>
      </c>
      <c r="AJ78" s="53">
        <f>AJ72/AJ69</f>
        <v>5.8216280792451482E-2</v>
      </c>
      <c r="AK78" s="53">
        <f>AK72/AK69</f>
        <v>5.8216280792451482E-2</v>
      </c>
      <c r="AL78" s="53">
        <f>AL72/AL69</f>
        <v>5.8216280792451482E-2</v>
      </c>
      <c r="AM78" s="53">
        <f>AM72/AM69</f>
        <v>5.8216280792451482E-2</v>
      </c>
      <c r="AN78" s="33" t="s">
        <v>9</v>
      </c>
      <c r="AO78" s="21" t="s">
        <v>112</v>
      </c>
    </row>
    <row r="80" spans="2:41" x14ac:dyDescent="0.25">
      <c r="B80" s="175" t="s">
        <v>32</v>
      </c>
      <c r="C80" s="176"/>
      <c r="D80" s="176"/>
      <c r="E80" s="176"/>
      <c r="F80" s="176"/>
      <c r="G80" s="177"/>
      <c r="I80" s="175" t="s">
        <v>32</v>
      </c>
      <c r="J80" s="176"/>
      <c r="K80" s="176"/>
      <c r="L80" s="176"/>
      <c r="M80" s="176"/>
      <c r="N80" s="177"/>
      <c r="P80" s="119" t="s">
        <v>32</v>
      </c>
      <c r="Q80" s="120"/>
      <c r="R80" s="120"/>
      <c r="S80" s="120"/>
      <c r="T80" s="120"/>
      <c r="U80" s="120"/>
      <c r="V80" s="120"/>
      <c r="W80" s="121"/>
      <c r="Y80" s="119" t="s">
        <v>32</v>
      </c>
      <c r="Z80" s="120"/>
      <c r="AA80" s="120"/>
      <c r="AB80" s="120"/>
      <c r="AC80" s="120"/>
      <c r="AD80" s="120"/>
      <c r="AE80" s="120"/>
      <c r="AF80" s="121"/>
      <c r="AH80" s="119" t="s">
        <v>32</v>
      </c>
      <c r="AI80" s="120"/>
      <c r="AJ80" s="120"/>
      <c r="AK80" s="120"/>
      <c r="AL80" s="120"/>
      <c r="AM80" s="120"/>
      <c r="AN80" s="120"/>
      <c r="AO80" s="121"/>
    </row>
    <row r="81" spans="2:41" x14ac:dyDescent="0.25">
      <c r="B81" s="174" t="s">
        <v>822</v>
      </c>
      <c r="C81" s="174"/>
      <c r="D81" s="174"/>
      <c r="E81" s="174"/>
      <c r="F81" s="174"/>
      <c r="G81" s="174"/>
      <c r="I81" s="174" t="s">
        <v>63</v>
      </c>
      <c r="J81" s="174"/>
      <c r="K81" s="174"/>
      <c r="L81" s="174"/>
      <c r="M81" s="174"/>
      <c r="N81" s="174"/>
      <c r="P81" s="165" t="s">
        <v>63</v>
      </c>
      <c r="Q81" s="166"/>
      <c r="R81" s="166"/>
      <c r="S81" s="166"/>
      <c r="T81" s="166"/>
      <c r="U81" s="166"/>
      <c r="V81" s="166"/>
      <c r="W81" s="167"/>
      <c r="Y81" s="165" t="s">
        <v>63</v>
      </c>
      <c r="Z81" s="166"/>
      <c r="AA81" s="166"/>
      <c r="AB81" s="166"/>
      <c r="AC81" s="166"/>
      <c r="AD81" s="166"/>
      <c r="AE81" s="166"/>
      <c r="AF81" s="167"/>
      <c r="AH81" s="165" t="s">
        <v>63</v>
      </c>
      <c r="AI81" s="166"/>
      <c r="AJ81" s="166"/>
      <c r="AK81" s="166"/>
      <c r="AL81" s="166"/>
      <c r="AM81" s="166"/>
      <c r="AN81" s="166"/>
      <c r="AO81" s="167"/>
    </row>
    <row r="82" spans="2:41" x14ac:dyDescent="0.25">
      <c r="B82" s="27" t="s">
        <v>24</v>
      </c>
      <c r="C82" s="47"/>
      <c r="D82" s="47"/>
      <c r="E82" s="47"/>
      <c r="F82" s="27"/>
      <c r="G82" s="27" t="s">
        <v>443</v>
      </c>
      <c r="I82" s="27" t="s">
        <v>24</v>
      </c>
      <c r="J82" s="46">
        <f>J15/1000000000</f>
        <v>50</v>
      </c>
      <c r="K82" s="46">
        <f>K15/1000000000</f>
        <v>29.62</v>
      </c>
      <c r="L82" s="46">
        <f>L15/1000000000</f>
        <v>15</v>
      </c>
      <c r="M82" s="27" t="s">
        <v>42</v>
      </c>
      <c r="N82" s="27"/>
      <c r="P82" s="27" t="s">
        <v>24</v>
      </c>
      <c r="Q82" s="46">
        <f>Q15/1000000000</f>
        <v>50</v>
      </c>
      <c r="R82" s="46">
        <f>R15/1000000000</f>
        <v>50</v>
      </c>
      <c r="S82" s="46">
        <f>S15/1000000000</f>
        <v>50</v>
      </c>
      <c r="T82" s="46">
        <f>T15/1000000000</f>
        <v>50</v>
      </c>
      <c r="U82" s="46">
        <f>U15/1000000000</f>
        <v>50</v>
      </c>
      <c r="V82" s="27" t="s">
        <v>42</v>
      </c>
      <c r="W82" s="27"/>
      <c r="Y82" s="27" t="s">
        <v>24</v>
      </c>
      <c r="Z82" s="46">
        <f>Z15/1000000000</f>
        <v>29.62</v>
      </c>
      <c r="AA82" s="46">
        <f>AA15/1000000000</f>
        <v>29.62</v>
      </c>
      <c r="AB82" s="46">
        <f>AB15/1000000000</f>
        <v>29.62</v>
      </c>
      <c r="AC82" s="46">
        <f>AC15/1000000000</f>
        <v>29.62</v>
      </c>
      <c r="AD82" s="46">
        <f>AD15/1000000000</f>
        <v>29.62</v>
      </c>
      <c r="AE82" s="27" t="s">
        <v>42</v>
      </c>
      <c r="AF82" s="27"/>
      <c r="AH82" s="27" t="s">
        <v>24</v>
      </c>
      <c r="AI82" s="46">
        <f>AI15/1000000000</f>
        <v>15</v>
      </c>
      <c r="AJ82" s="46">
        <f>AJ15/1000000000</f>
        <v>15</v>
      </c>
      <c r="AK82" s="46">
        <f>AK15/1000000000</f>
        <v>15</v>
      </c>
      <c r="AL82" s="46">
        <f>AL15/1000000000</f>
        <v>15</v>
      </c>
      <c r="AM82" s="46">
        <f>AM15/1000000000</f>
        <v>15</v>
      </c>
      <c r="AN82" s="27" t="s">
        <v>42</v>
      </c>
      <c r="AO82" s="27"/>
    </row>
    <row r="83" spans="2:41" x14ac:dyDescent="0.25">
      <c r="B83" s="12" t="s">
        <v>48</v>
      </c>
      <c r="C83" s="39">
        <f>C37/1000000000</f>
        <v>35.764705882352935</v>
      </c>
      <c r="D83" s="39">
        <f>D37/1000000000</f>
        <v>41.382198952879584</v>
      </c>
      <c r="E83" s="39">
        <f>E37/1000000000</f>
        <v>47.665505226480832</v>
      </c>
      <c r="F83" s="12" t="s">
        <v>42</v>
      </c>
      <c r="G83" s="12" t="s">
        <v>444</v>
      </c>
      <c r="I83" s="27" t="s">
        <v>48</v>
      </c>
      <c r="J83" s="46">
        <f>J36/1000000000</f>
        <v>24.470588235294116</v>
      </c>
      <c r="K83" s="46">
        <f>K36/1000000000</f>
        <v>28.314136125654453</v>
      </c>
      <c r="L83" s="46">
        <f>L36/1000000000</f>
        <v>32.613240418118465</v>
      </c>
      <c r="M83" s="27" t="s">
        <v>42</v>
      </c>
      <c r="N83" s="27"/>
      <c r="P83" s="27" t="s">
        <v>48</v>
      </c>
      <c r="Q83" s="46">
        <f>Q36/1000000000</f>
        <v>24.470588235294116</v>
      </c>
      <c r="R83" s="46">
        <f>R36/1000000000</f>
        <v>24.470588235294116</v>
      </c>
      <c r="S83" s="46">
        <f>S36/1000000000</f>
        <v>24.470588235294116</v>
      </c>
      <c r="T83" s="46">
        <f>T36/1000000000</f>
        <v>24.470588235294116</v>
      </c>
      <c r="U83" s="46">
        <f>U36/1000000000</f>
        <v>24.470588235294116</v>
      </c>
      <c r="V83" s="27" t="s">
        <v>42</v>
      </c>
      <c r="W83" s="27"/>
      <c r="Y83" s="27" t="s">
        <v>48</v>
      </c>
      <c r="Z83" s="46">
        <f>Z36/1000000000</f>
        <v>28.314136125654453</v>
      </c>
      <c r="AA83" s="46">
        <f>AA36/1000000000</f>
        <v>28.314136125654453</v>
      </c>
      <c r="AB83" s="46">
        <f>AB36/1000000000</f>
        <v>28.314136125654453</v>
      </c>
      <c r="AC83" s="46">
        <f>AC36/1000000000</f>
        <v>28.314136125654453</v>
      </c>
      <c r="AD83" s="46">
        <f>AD36/1000000000</f>
        <v>28.314136125654453</v>
      </c>
      <c r="AE83" s="27" t="s">
        <v>42</v>
      </c>
      <c r="AF83" s="27"/>
      <c r="AH83" s="27" t="s">
        <v>48</v>
      </c>
      <c r="AI83" s="46">
        <f>AI36/1000000000</f>
        <v>32.613240418118465</v>
      </c>
      <c r="AJ83" s="46">
        <f>AJ36/1000000000</f>
        <v>32.613240418118465</v>
      </c>
      <c r="AK83" s="46">
        <f>AK36/1000000000</f>
        <v>32.613240418118465</v>
      </c>
      <c r="AL83" s="46">
        <f>AL36/1000000000</f>
        <v>32.613240418118465</v>
      </c>
      <c r="AM83" s="46">
        <f>AM36/1000000000</f>
        <v>32.613240418118465</v>
      </c>
      <c r="AN83" s="27" t="s">
        <v>42</v>
      </c>
      <c r="AO83" s="27"/>
    </row>
    <row r="84" spans="2:41" x14ac:dyDescent="0.25">
      <c r="B84" s="12" t="s">
        <v>26</v>
      </c>
      <c r="C84" s="39"/>
      <c r="D84" s="39"/>
      <c r="E84" s="39"/>
      <c r="F84" s="12"/>
      <c r="G84" s="27" t="s">
        <v>443</v>
      </c>
      <c r="I84" s="27" t="s">
        <v>26</v>
      </c>
      <c r="J84" s="46">
        <f>J53/1000000000</f>
        <v>0.27122059754921701</v>
      </c>
      <c r="K84" s="46">
        <f>K53/1000000000</f>
        <v>0.13706140394244276</v>
      </c>
      <c r="L84" s="46">
        <f>L53/1000000000</f>
        <v>4.9455444708542344E-2</v>
      </c>
      <c r="M84" s="27" t="s">
        <v>42</v>
      </c>
      <c r="N84" s="27"/>
      <c r="P84" s="27" t="s">
        <v>26</v>
      </c>
      <c r="Q84" s="46">
        <f>Q53/1000000000</f>
        <v>0.27122059754921701</v>
      </c>
      <c r="R84" s="46">
        <f>R53/1000000000</f>
        <v>0.27122059754921701</v>
      </c>
      <c r="S84" s="46">
        <f>S53/1000000000</f>
        <v>0.27122059754921701</v>
      </c>
      <c r="T84" s="46">
        <f>T53/1000000000</f>
        <v>0.27122059754921701</v>
      </c>
      <c r="U84" s="46">
        <f>U53/1000000000</f>
        <v>0.27122059754921701</v>
      </c>
      <c r="V84" s="27" t="s">
        <v>42</v>
      </c>
      <c r="W84" s="27"/>
      <c r="Y84" s="27" t="s">
        <v>26</v>
      </c>
      <c r="Z84" s="46">
        <f>Z53/1000000000</f>
        <v>0.13706140394244276</v>
      </c>
      <c r="AA84" s="46">
        <f>AA53/1000000000</f>
        <v>0.13706140394244276</v>
      </c>
      <c r="AB84" s="46">
        <f>AB53/1000000000</f>
        <v>0.13706140394244276</v>
      </c>
      <c r="AC84" s="46">
        <f>AC53/1000000000</f>
        <v>0.13706140394244276</v>
      </c>
      <c r="AD84" s="46">
        <f>AD53/1000000000</f>
        <v>0.13706140394244276</v>
      </c>
      <c r="AE84" s="27" t="s">
        <v>42</v>
      </c>
      <c r="AF84" s="27"/>
      <c r="AH84" s="27" t="s">
        <v>26</v>
      </c>
      <c r="AI84" s="46">
        <f>AI53/1000000000</f>
        <v>4.9455444708542344E-2</v>
      </c>
      <c r="AJ84" s="46">
        <f>AJ53/1000000000</f>
        <v>4.9455444708542344E-2</v>
      </c>
      <c r="AK84" s="46">
        <f>AK53/1000000000</f>
        <v>4.9455444708542344E-2</v>
      </c>
      <c r="AL84" s="46">
        <f>AL53/1000000000</f>
        <v>4.9455444708542344E-2</v>
      </c>
      <c r="AM84" s="46">
        <f>AM53/1000000000</f>
        <v>4.9455444708542344E-2</v>
      </c>
      <c r="AN84" s="27" t="s">
        <v>42</v>
      </c>
      <c r="AO84" s="27"/>
    </row>
    <row r="85" spans="2:41" x14ac:dyDescent="0.25">
      <c r="B85" s="12" t="s">
        <v>29</v>
      </c>
      <c r="C85" s="39">
        <f>C63/1000000000</f>
        <v>12</v>
      </c>
      <c r="D85" s="39">
        <f>D63/1000000000</f>
        <v>14.6</v>
      </c>
      <c r="E85" s="39">
        <f>E63/1000000000</f>
        <v>17.8</v>
      </c>
      <c r="F85" s="12" t="s">
        <v>42</v>
      </c>
      <c r="G85" s="12" t="s">
        <v>245</v>
      </c>
      <c r="I85" s="12" t="s">
        <v>29</v>
      </c>
      <c r="J85" s="47">
        <f>J74/1000000000</f>
        <v>163.26303971382239</v>
      </c>
      <c r="K85" s="47">
        <f>K74/1000000000</f>
        <v>31.563103918121477</v>
      </c>
      <c r="L85" s="47">
        <f>L74/1000000000</f>
        <v>12.340652815491648</v>
      </c>
      <c r="M85" s="27" t="s">
        <v>42</v>
      </c>
      <c r="N85" s="27"/>
      <c r="P85" s="12" t="s">
        <v>29</v>
      </c>
      <c r="Q85" s="47">
        <f>Q74/1000000000</f>
        <v>163.26303971382239</v>
      </c>
      <c r="R85" s="47">
        <f>R74/1000000000</f>
        <v>130.45533073174286</v>
      </c>
      <c r="S85" s="47">
        <f>S74/1000000000</f>
        <v>97.647621749663344</v>
      </c>
      <c r="T85" s="47">
        <f>T74/1000000000</f>
        <v>64.839912767583812</v>
      </c>
      <c r="U85" s="47">
        <f>U74/1000000000</f>
        <v>32.032203785504286</v>
      </c>
      <c r="V85" s="27" t="s">
        <v>42</v>
      </c>
      <c r="W85" s="27"/>
      <c r="Y85" s="12" t="s">
        <v>29</v>
      </c>
      <c r="Z85" s="47">
        <f>Z74/1000000000</f>
        <v>73.606123953965692</v>
      </c>
      <c r="AA85" s="47">
        <f>AA74/1000000000</f>
        <v>60.043859426274018</v>
      </c>
      <c r="AB85" s="47">
        <f>AB74/1000000000</f>
        <v>46.481594898582337</v>
      </c>
      <c r="AC85" s="47">
        <f>AC74/1000000000</f>
        <v>32.919330370890648</v>
      </c>
      <c r="AD85" s="47">
        <f>AD74/1000000000</f>
        <v>19.357065843198964</v>
      </c>
      <c r="AE85" s="27" t="s">
        <v>42</v>
      </c>
      <c r="AF85" s="27"/>
      <c r="AH85" s="12" t="s">
        <v>29</v>
      </c>
      <c r="AI85" s="47">
        <f>AI74/1000000000</f>
        <v>28.914827957102585</v>
      </c>
      <c r="AJ85" s="47">
        <f>AJ74/1000000000</f>
        <v>24.665039459253624</v>
      </c>
      <c r="AK85" s="47">
        <f>AK74/1000000000</f>
        <v>20.41525096140467</v>
      </c>
      <c r="AL85" s="47">
        <f>AL74/1000000000</f>
        <v>16.165462463555709</v>
      </c>
      <c r="AM85" s="47">
        <f>AM74/1000000000</f>
        <v>11.915673965706754</v>
      </c>
      <c r="AN85" s="27" t="s">
        <v>42</v>
      </c>
      <c r="AO85" s="27"/>
    </row>
    <row r="86" spans="2:41" x14ac:dyDescent="0.25">
      <c r="B86" s="130" t="s">
        <v>28</v>
      </c>
      <c r="C86" s="131">
        <f>SUM(C82:C85)</f>
        <v>47.764705882352935</v>
      </c>
      <c r="D86" s="131">
        <f t="shared" ref="D86:E86" si="71">SUM(D82:D85)</f>
        <v>55.982198952879585</v>
      </c>
      <c r="E86" s="131">
        <f t="shared" si="71"/>
        <v>65.465505226480829</v>
      </c>
      <c r="F86" s="130" t="s">
        <v>42</v>
      </c>
      <c r="G86" s="130"/>
      <c r="I86" s="130" t="s">
        <v>28</v>
      </c>
      <c r="J86" s="131">
        <f>SUM(J82:J85)</f>
        <v>238.00484854666573</v>
      </c>
      <c r="K86" s="131">
        <f t="shared" ref="K86:L86" si="72">SUM(K82:K85)</f>
        <v>89.634301447718371</v>
      </c>
      <c r="L86" s="131">
        <f t="shared" si="72"/>
        <v>60.003348678318659</v>
      </c>
      <c r="M86" s="130" t="s">
        <v>42</v>
      </c>
      <c r="N86" s="134"/>
      <c r="P86" s="130" t="s">
        <v>28</v>
      </c>
      <c r="Q86" s="131">
        <f>SUM(Q82:Q85)</f>
        <v>238.00484854666573</v>
      </c>
      <c r="R86" s="131">
        <f>SUM(R82:R85)</f>
        <v>205.19713956458619</v>
      </c>
      <c r="S86" s="131">
        <f>SUM(S82:S85)</f>
        <v>172.38943058250669</v>
      </c>
      <c r="T86" s="131">
        <f>SUM(T82:T85)</f>
        <v>139.58172160042716</v>
      </c>
      <c r="U86" s="131">
        <f>SUM(U82:U85)</f>
        <v>106.77401261834763</v>
      </c>
      <c r="V86" s="130" t="s">
        <v>42</v>
      </c>
      <c r="W86" s="134"/>
      <c r="Y86" s="130" t="s">
        <v>28</v>
      </c>
      <c r="Z86" s="131">
        <f>SUM(Z82:Z85)</f>
        <v>131.67732148356259</v>
      </c>
      <c r="AA86" s="131">
        <f t="shared" ref="AA86:AD86" si="73">SUM(AA82:AA85)</f>
        <v>118.11505695587091</v>
      </c>
      <c r="AB86" s="131">
        <f t="shared" si="73"/>
        <v>104.55279242817923</v>
      </c>
      <c r="AC86" s="131">
        <f t="shared" si="73"/>
        <v>90.990527900487535</v>
      </c>
      <c r="AD86" s="131">
        <f t="shared" si="73"/>
        <v>77.428263372795854</v>
      </c>
      <c r="AE86" s="130" t="s">
        <v>42</v>
      </c>
      <c r="AF86" s="134"/>
      <c r="AH86" s="130" t="s">
        <v>28</v>
      </c>
      <c r="AI86" s="131">
        <f>SUM(AI82:AI85)</f>
        <v>76.577523819929596</v>
      </c>
      <c r="AJ86" s="131">
        <f t="shared" ref="AJ86:AM86" si="74">SUM(AJ82:AJ85)</f>
        <v>72.327735322080628</v>
      </c>
      <c r="AK86" s="131">
        <f t="shared" si="74"/>
        <v>68.077946824231674</v>
      </c>
      <c r="AL86" s="131">
        <f t="shared" si="74"/>
        <v>63.82815832638272</v>
      </c>
      <c r="AM86" s="131">
        <f t="shared" si="74"/>
        <v>59.578369828533759</v>
      </c>
      <c r="AN86" s="130" t="s">
        <v>42</v>
      </c>
      <c r="AO86" s="134"/>
    </row>
    <row r="87" spans="2:41" hidden="1" x14ac:dyDescent="0.25">
      <c r="B87" s="130" t="s">
        <v>28</v>
      </c>
      <c r="C87" s="132">
        <f>C86*1000000000</f>
        <v>47764705882.352936</v>
      </c>
      <c r="D87" s="132">
        <f t="shared" ref="D87:E87" si="75">D86*1000000000</f>
        <v>55982198952.879585</v>
      </c>
      <c r="E87" s="132">
        <f t="shared" si="75"/>
        <v>65465505226.480827</v>
      </c>
      <c r="F87" s="130" t="s">
        <v>6</v>
      </c>
      <c r="G87" s="130"/>
      <c r="I87" s="130" t="s">
        <v>28</v>
      </c>
      <c r="J87" s="132">
        <f>J86*1000000000</f>
        <v>238004848546.66574</v>
      </c>
      <c r="K87" s="132">
        <f t="shared" ref="K87" si="76">K86*1000000000</f>
        <v>89634301447.718369</v>
      </c>
      <c r="L87" s="132">
        <f t="shared" ref="L87" si="77">L86*1000000000</f>
        <v>60003348678.318657</v>
      </c>
      <c r="M87" s="130" t="s">
        <v>6</v>
      </c>
      <c r="N87" s="134"/>
      <c r="P87" s="130"/>
      <c r="Q87" s="131"/>
      <c r="R87" s="131"/>
      <c r="S87" s="131"/>
      <c r="T87" s="131"/>
      <c r="U87" s="131"/>
      <c r="V87" s="130"/>
      <c r="W87" s="134"/>
      <c r="Y87" s="130"/>
      <c r="Z87" s="131"/>
      <c r="AA87" s="131"/>
      <c r="AB87" s="131"/>
      <c r="AC87" s="131"/>
      <c r="AD87" s="131"/>
      <c r="AE87" s="130"/>
      <c r="AF87" s="134"/>
      <c r="AH87" s="130"/>
      <c r="AI87" s="131"/>
      <c r="AJ87" s="131"/>
      <c r="AK87" s="131"/>
      <c r="AL87" s="131"/>
      <c r="AM87" s="131"/>
      <c r="AN87" s="130"/>
      <c r="AO87" s="134"/>
    </row>
    <row r="88" spans="2:41" x14ac:dyDescent="0.25">
      <c r="B88" s="12" t="s">
        <v>30</v>
      </c>
      <c r="C88" s="24">
        <f>C19/1000000</f>
        <v>546.62400000000002</v>
      </c>
      <c r="D88" s="24">
        <f>D19/1000000</f>
        <v>616.70399999999995</v>
      </c>
      <c r="E88" s="24">
        <f>E19/1000000</f>
        <v>735.84</v>
      </c>
      <c r="F88" s="12" t="s">
        <v>50</v>
      </c>
      <c r="G88" s="12" t="s">
        <v>189</v>
      </c>
      <c r="I88" s="12" t="s">
        <v>30</v>
      </c>
      <c r="J88" s="24">
        <f>J18/1000000</f>
        <v>0</v>
      </c>
      <c r="K88" s="24">
        <f>K18/1000000</f>
        <v>0</v>
      </c>
      <c r="L88" s="24">
        <f>L18/1000000</f>
        <v>0</v>
      </c>
      <c r="M88" s="12" t="s">
        <v>50</v>
      </c>
      <c r="N88" s="21"/>
      <c r="P88" s="12" t="s">
        <v>30</v>
      </c>
      <c r="Q88" s="24">
        <f>Q18/1000000</f>
        <v>0</v>
      </c>
      <c r="R88" s="24">
        <f>R18/1000000</f>
        <v>0</v>
      </c>
      <c r="S88" s="24">
        <f>S18/1000000</f>
        <v>0</v>
      </c>
      <c r="T88" s="24">
        <f>T18/1000000</f>
        <v>0</v>
      </c>
      <c r="U88" s="24">
        <f>U18/1000000</f>
        <v>0</v>
      </c>
      <c r="V88" s="12" t="s">
        <v>50</v>
      </c>
      <c r="W88" s="21"/>
      <c r="Y88" s="12" t="s">
        <v>30</v>
      </c>
      <c r="Z88" s="24">
        <f>Z18/1000000</f>
        <v>0</v>
      </c>
      <c r="AA88" s="24">
        <f>AA18/1000000</f>
        <v>0</v>
      </c>
      <c r="AB88" s="24">
        <f>AB18/1000000</f>
        <v>0</v>
      </c>
      <c r="AC88" s="24">
        <f>AC18/1000000</f>
        <v>0</v>
      </c>
      <c r="AD88" s="24">
        <f>AD18/1000000</f>
        <v>0</v>
      </c>
      <c r="AE88" s="12" t="s">
        <v>50</v>
      </c>
      <c r="AF88" s="21"/>
      <c r="AH88" s="12" t="s">
        <v>30</v>
      </c>
      <c r="AI88" s="24">
        <f>AI18/1000000</f>
        <v>0</v>
      </c>
      <c r="AJ88" s="24">
        <f>AJ18/1000000</f>
        <v>0</v>
      </c>
      <c r="AK88" s="24">
        <f>AK18/1000000</f>
        <v>0</v>
      </c>
      <c r="AL88" s="24">
        <f>AL18/1000000</f>
        <v>0</v>
      </c>
      <c r="AM88" s="24">
        <f>AM18/1000000</f>
        <v>0</v>
      </c>
      <c r="AN88" s="12" t="s">
        <v>50</v>
      </c>
      <c r="AO88" s="21"/>
    </row>
    <row r="89" spans="2:41" x14ac:dyDescent="0.25">
      <c r="B89" s="12" t="s">
        <v>57</v>
      </c>
      <c r="C89" s="24">
        <f>C41/1000000</f>
        <v>548.25</v>
      </c>
      <c r="D89" s="24">
        <f>D41/1000000</f>
        <v>577.77599999999995</v>
      </c>
      <c r="E89" s="24">
        <f>E41/1000000</f>
        <v>610.83000000000004</v>
      </c>
      <c r="F89" s="12" t="s">
        <v>50</v>
      </c>
      <c r="G89" s="12" t="s">
        <v>187</v>
      </c>
      <c r="I89" s="12" t="s">
        <v>57</v>
      </c>
      <c r="J89" s="24">
        <f>J39/1000000</f>
        <v>0</v>
      </c>
      <c r="K89" s="24">
        <f>K39/1000000</f>
        <v>0</v>
      </c>
      <c r="L89" s="24">
        <f>L39/1000000</f>
        <v>0</v>
      </c>
      <c r="M89" s="12" t="s">
        <v>50</v>
      </c>
      <c r="N89" s="21"/>
      <c r="P89" s="12" t="s">
        <v>57</v>
      </c>
      <c r="Q89" s="24">
        <f>Q39/1000000</f>
        <v>0</v>
      </c>
      <c r="R89" s="24">
        <f>R39/1000000</f>
        <v>0</v>
      </c>
      <c r="S89" s="24">
        <f>S39/1000000</f>
        <v>0</v>
      </c>
      <c r="T89" s="24">
        <f>T39/1000000</f>
        <v>0</v>
      </c>
      <c r="U89" s="24">
        <f>U39/1000000</f>
        <v>0</v>
      </c>
      <c r="V89" s="12" t="s">
        <v>50</v>
      </c>
      <c r="W89" s="21"/>
      <c r="Y89" s="12" t="s">
        <v>57</v>
      </c>
      <c r="Z89" s="24">
        <f>Z39/1000000</f>
        <v>0</v>
      </c>
      <c r="AA89" s="24">
        <f>AA39/1000000</f>
        <v>0</v>
      </c>
      <c r="AB89" s="24">
        <f>AB39/1000000</f>
        <v>0</v>
      </c>
      <c r="AC89" s="24">
        <f>AC39/1000000</f>
        <v>0</v>
      </c>
      <c r="AD89" s="24">
        <f>AD39/1000000</f>
        <v>0</v>
      </c>
      <c r="AE89" s="12" t="s">
        <v>50</v>
      </c>
      <c r="AF89" s="21"/>
      <c r="AH89" s="12" t="s">
        <v>57</v>
      </c>
      <c r="AI89" s="24">
        <f>AI39/1000000</f>
        <v>0</v>
      </c>
      <c r="AJ89" s="24">
        <f>AJ39/1000000</f>
        <v>0</v>
      </c>
      <c r="AK89" s="24">
        <f>AK39/1000000</f>
        <v>0</v>
      </c>
      <c r="AL89" s="24">
        <f>AL39/1000000</f>
        <v>0</v>
      </c>
      <c r="AM89" s="24">
        <f>AM39/1000000</f>
        <v>0</v>
      </c>
      <c r="AN89" s="12" t="s">
        <v>50</v>
      </c>
      <c r="AO89" s="21"/>
    </row>
    <row r="90" spans="2:41" x14ac:dyDescent="0.25">
      <c r="B90" s="12" t="s">
        <v>27</v>
      </c>
      <c r="C90" s="24">
        <f>C48/1000000</f>
        <v>25.537077939233818</v>
      </c>
      <c r="D90" s="24">
        <f>D48/1000000</f>
        <v>3.2910752972258921</v>
      </c>
      <c r="E90" s="24">
        <f>E48/1000000</f>
        <v>0</v>
      </c>
      <c r="F90" s="12" t="s">
        <v>50</v>
      </c>
      <c r="G90" s="12" t="s">
        <v>188</v>
      </c>
      <c r="I90" s="12" t="s">
        <v>27</v>
      </c>
      <c r="J90" s="22">
        <v>0</v>
      </c>
      <c r="K90" s="22">
        <v>0</v>
      </c>
      <c r="L90" s="22">
        <v>0</v>
      </c>
      <c r="M90" s="12" t="s">
        <v>50</v>
      </c>
      <c r="N90" s="21"/>
      <c r="P90" s="12" t="s">
        <v>27</v>
      </c>
      <c r="Q90" s="22">
        <v>0</v>
      </c>
      <c r="R90" s="22">
        <v>0</v>
      </c>
      <c r="S90" s="22">
        <v>0</v>
      </c>
      <c r="T90" s="22">
        <v>0</v>
      </c>
      <c r="U90" s="22">
        <v>0</v>
      </c>
      <c r="V90" s="12" t="s">
        <v>50</v>
      </c>
      <c r="W90" s="21"/>
      <c r="Y90" s="12" t="s">
        <v>27</v>
      </c>
      <c r="Z90" s="22">
        <v>0</v>
      </c>
      <c r="AA90" s="22">
        <v>0</v>
      </c>
      <c r="AB90" s="22">
        <v>0</v>
      </c>
      <c r="AC90" s="22">
        <v>0</v>
      </c>
      <c r="AD90" s="22">
        <v>0</v>
      </c>
      <c r="AE90" s="12" t="s">
        <v>50</v>
      </c>
      <c r="AF90" s="21"/>
      <c r="AH90" s="12" t="s">
        <v>27</v>
      </c>
      <c r="AI90" s="22">
        <v>0</v>
      </c>
      <c r="AJ90" s="22">
        <v>0</v>
      </c>
      <c r="AK90" s="22">
        <v>0</v>
      </c>
      <c r="AL90" s="22">
        <v>0</v>
      </c>
      <c r="AM90" s="22">
        <v>0</v>
      </c>
      <c r="AN90" s="12" t="s">
        <v>50</v>
      </c>
      <c r="AO90" s="21"/>
    </row>
    <row r="91" spans="2:41" x14ac:dyDescent="0.25">
      <c r="B91" s="12" t="s">
        <v>31</v>
      </c>
      <c r="C91" s="24">
        <f>C68/1000000</f>
        <v>5235.8823529411757</v>
      </c>
      <c r="D91" s="24">
        <f>D68/1000000</f>
        <v>6021.9940436354709</v>
      </c>
      <c r="E91" s="24">
        <f>E68/1000000</f>
        <v>6908.689090036486</v>
      </c>
      <c r="F91" s="12" t="s">
        <v>50</v>
      </c>
      <c r="G91" s="12" t="s">
        <v>190</v>
      </c>
      <c r="I91" s="12" t="s">
        <v>31</v>
      </c>
      <c r="J91" s="24">
        <f>J77/1000000</f>
        <v>32902.60794276448</v>
      </c>
      <c r="K91" s="24">
        <f>K77/1000000</f>
        <v>6562.6207836242966</v>
      </c>
      <c r="L91" s="24">
        <f>L77/1000000</f>
        <v>2718.1305630983297</v>
      </c>
      <c r="M91" s="12" t="s">
        <v>50</v>
      </c>
      <c r="N91" s="21" t="s">
        <v>821</v>
      </c>
      <c r="P91" s="12" t="s">
        <v>31</v>
      </c>
      <c r="Q91" s="24">
        <f>Q77/1000000</f>
        <v>32902.60794276448</v>
      </c>
      <c r="R91" s="24">
        <f>R77/1000000</f>
        <v>26341.066146348574</v>
      </c>
      <c r="S91" s="24">
        <f>S77/1000000</f>
        <v>19779.524349932672</v>
      </c>
      <c r="T91" s="24">
        <f>T77/1000000</f>
        <v>13217.982553516764</v>
      </c>
      <c r="U91" s="24">
        <f>U77/1000000</f>
        <v>6656.4407571008569</v>
      </c>
      <c r="V91" s="12" t="s">
        <v>50</v>
      </c>
      <c r="W91" s="21" t="s">
        <v>821</v>
      </c>
      <c r="Y91" s="12" t="s">
        <v>31</v>
      </c>
      <c r="Z91" s="24">
        <f>Z77/1000000</f>
        <v>14971.22479079314</v>
      </c>
      <c r="AA91" s="24">
        <f>AA77/1000000</f>
        <v>12258.771885254802</v>
      </c>
      <c r="AB91" s="24">
        <f>AB77/1000000</f>
        <v>9546.3189797164669</v>
      </c>
      <c r="AC91" s="24">
        <f>AC77/1000000</f>
        <v>6833.8660741781296</v>
      </c>
      <c r="AD91" s="24">
        <f>AD77/1000000</f>
        <v>4121.4131686397923</v>
      </c>
      <c r="AE91" s="12" t="s">
        <v>50</v>
      </c>
      <c r="AF91" s="21" t="s">
        <v>821</v>
      </c>
      <c r="AH91" s="12" t="s">
        <v>31</v>
      </c>
      <c r="AI91" s="24">
        <f>AI77/1000000</f>
        <v>6032.9655914205168</v>
      </c>
      <c r="AJ91" s="24">
        <f>AJ77/1000000</f>
        <v>5183.0078918507252</v>
      </c>
      <c r="AK91" s="24">
        <f>AK77/1000000</f>
        <v>4333.0501922809344</v>
      </c>
      <c r="AL91" s="24">
        <f>AL77/1000000</f>
        <v>3483.0924927111419</v>
      </c>
      <c r="AM91" s="24">
        <f>AM77/1000000</f>
        <v>2633.1347931413507</v>
      </c>
      <c r="AN91" s="12" t="s">
        <v>50</v>
      </c>
      <c r="AO91" s="21" t="s">
        <v>821</v>
      </c>
    </row>
    <row r="92" spans="2:41" x14ac:dyDescent="0.25">
      <c r="B92" s="130" t="s">
        <v>52</v>
      </c>
      <c r="C92" s="132">
        <f>SUM(C88:C91)</f>
        <v>6356.2934308804097</v>
      </c>
      <c r="D92" s="132">
        <f t="shared" ref="D92:E92" si="78">SUM(D88:D91)</f>
        <v>7219.7651189326971</v>
      </c>
      <c r="E92" s="132">
        <f t="shared" si="78"/>
        <v>8255.359090036487</v>
      </c>
      <c r="F92" s="130" t="s">
        <v>50</v>
      </c>
      <c r="G92" s="130"/>
      <c r="I92" s="130" t="s">
        <v>58</v>
      </c>
      <c r="J92" s="131">
        <f>SUM(J88:J91)</f>
        <v>32902.60794276448</v>
      </c>
      <c r="K92" s="131">
        <f t="shared" ref="K92:L92" si="79">SUM(K88:K91)</f>
        <v>6562.6207836242966</v>
      </c>
      <c r="L92" s="131">
        <f t="shared" si="79"/>
        <v>2718.1305630983297</v>
      </c>
      <c r="M92" s="130" t="s">
        <v>50</v>
      </c>
      <c r="N92" s="134"/>
      <c r="P92" s="130" t="s">
        <v>58</v>
      </c>
      <c r="Q92" s="132">
        <f>SUM(Q88:Q91)</f>
        <v>32902.60794276448</v>
      </c>
      <c r="R92" s="132">
        <f>SUM(R88:R91)</f>
        <v>26341.066146348574</v>
      </c>
      <c r="S92" s="132">
        <f>SUM(S88:S91)</f>
        <v>19779.524349932672</v>
      </c>
      <c r="T92" s="132">
        <f>SUM(T88:T91)</f>
        <v>13217.982553516764</v>
      </c>
      <c r="U92" s="132">
        <f>SUM(U88:U91)</f>
        <v>6656.4407571008569</v>
      </c>
      <c r="V92" s="130" t="s">
        <v>50</v>
      </c>
      <c r="W92" s="134"/>
      <c r="Y92" s="130" t="s">
        <v>58</v>
      </c>
      <c r="Z92" s="131">
        <f>SUM(Z88:Z91)</f>
        <v>14971.22479079314</v>
      </c>
      <c r="AA92" s="131">
        <f t="shared" ref="AA92:AD92" si="80">SUM(AA88:AA91)</f>
        <v>12258.771885254802</v>
      </c>
      <c r="AB92" s="131">
        <f t="shared" si="80"/>
        <v>9546.3189797164669</v>
      </c>
      <c r="AC92" s="131">
        <f t="shared" si="80"/>
        <v>6833.8660741781296</v>
      </c>
      <c r="AD92" s="131">
        <f t="shared" si="80"/>
        <v>4121.4131686397923</v>
      </c>
      <c r="AE92" s="130" t="s">
        <v>50</v>
      </c>
      <c r="AF92" s="134"/>
      <c r="AH92" s="130" t="s">
        <v>58</v>
      </c>
      <c r="AI92" s="131">
        <f>SUM(AI88:AI91)</f>
        <v>6032.9655914205168</v>
      </c>
      <c r="AJ92" s="131">
        <f t="shared" ref="AJ92:AM92" si="81">SUM(AJ88:AJ91)</f>
        <v>5183.0078918507252</v>
      </c>
      <c r="AK92" s="131">
        <f t="shared" si="81"/>
        <v>4333.0501922809344</v>
      </c>
      <c r="AL92" s="131">
        <f t="shared" si="81"/>
        <v>3483.0924927111419</v>
      </c>
      <c r="AM92" s="131">
        <f t="shared" si="81"/>
        <v>2633.1347931413507</v>
      </c>
      <c r="AN92" s="130" t="s">
        <v>50</v>
      </c>
      <c r="AO92" s="134"/>
    </row>
    <row r="93" spans="2:41" hidden="1" x14ac:dyDescent="0.25">
      <c r="B93" s="130" t="s">
        <v>880</v>
      </c>
      <c r="C93" s="131">
        <f>C92/1000</f>
        <v>6.3562934308804095</v>
      </c>
      <c r="D93" s="131">
        <f t="shared" ref="D93:E93" si="82">D92/1000</f>
        <v>7.2197651189326972</v>
      </c>
      <c r="E93" s="131">
        <f t="shared" si="82"/>
        <v>8.255359090036487</v>
      </c>
      <c r="F93" s="130" t="s">
        <v>867</v>
      </c>
      <c r="G93" s="130"/>
      <c r="I93" s="130" t="s">
        <v>880</v>
      </c>
      <c r="J93" s="131">
        <f>J92/1000</f>
        <v>32.902607942764483</v>
      </c>
      <c r="K93" s="131">
        <f t="shared" ref="K93" si="83">K92/1000</f>
        <v>6.5626207836242969</v>
      </c>
      <c r="L93" s="131">
        <f t="shared" ref="L93" si="84">L92/1000</f>
        <v>2.7181305630983297</v>
      </c>
      <c r="M93" s="130" t="s">
        <v>867</v>
      </c>
      <c r="N93" s="134"/>
      <c r="P93" s="16"/>
      <c r="Q93" s="152"/>
      <c r="R93" s="152"/>
      <c r="S93" s="152"/>
      <c r="T93" s="152"/>
      <c r="U93" s="152"/>
      <c r="V93" s="16"/>
      <c r="W93" s="17"/>
      <c r="Y93" s="16"/>
      <c r="Z93" s="153"/>
      <c r="AA93" s="153"/>
      <c r="AB93" s="153"/>
      <c r="AC93" s="153"/>
      <c r="AD93" s="153"/>
      <c r="AE93" s="16"/>
      <c r="AF93" s="17"/>
      <c r="AH93" s="16"/>
      <c r="AI93" s="153"/>
      <c r="AJ93" s="153"/>
      <c r="AK93" s="153"/>
      <c r="AL93" s="153"/>
      <c r="AM93" s="153"/>
      <c r="AN93" s="16"/>
      <c r="AO93" s="17"/>
    </row>
    <row r="94" spans="2:41" x14ac:dyDescent="0.25">
      <c r="B94" s="12" t="s">
        <v>21</v>
      </c>
      <c r="C94" s="30">
        <v>0.1</v>
      </c>
      <c r="D94" s="30">
        <v>0.1</v>
      </c>
      <c r="E94" s="30">
        <v>0.1</v>
      </c>
      <c r="F94" s="12"/>
      <c r="G94" s="12"/>
      <c r="I94" s="12" t="s">
        <v>21</v>
      </c>
      <c r="J94" s="30">
        <v>0.1</v>
      </c>
      <c r="K94" s="30">
        <v>0.1</v>
      </c>
      <c r="L94" s="30">
        <v>0.1</v>
      </c>
      <c r="M94" s="12"/>
      <c r="N94" s="12"/>
    </row>
    <row r="95" spans="2:41" x14ac:dyDescent="0.25">
      <c r="B95" s="12" t="s">
        <v>876</v>
      </c>
      <c r="C95" s="39">
        <f>C86+PV(C94,5,-C92/1000)</f>
        <v>71.860058922612239</v>
      </c>
      <c r="D95" s="39">
        <f t="shared" ref="D95:E95" si="85">D86+PV(D94,5,-D92/1000)</f>
        <v>83.350789043966273</v>
      </c>
      <c r="E95" s="39">
        <f t="shared" si="85"/>
        <v>96.759811241706927</v>
      </c>
      <c r="F95" s="12" t="s">
        <v>42</v>
      </c>
      <c r="G95" s="12"/>
      <c r="I95" s="12" t="s">
        <v>876</v>
      </c>
      <c r="J95" s="39">
        <f>J86+PV(J94,5,-J92/1000)</f>
        <v>362.73161941513069</v>
      </c>
      <c r="K95" s="39">
        <f t="shared" ref="K95" si="86">K86+PV(K94,5,-K92/1000)</f>
        <v>114.51179748692627</v>
      </c>
      <c r="L95" s="39">
        <f t="shared" ref="L95" si="87">L86+PV(L94,5,-L92/1000)</f>
        <v>70.307202054436544</v>
      </c>
      <c r="M95" s="12" t="s">
        <v>42</v>
      </c>
      <c r="N95" s="12"/>
      <c r="P95" s="168" t="s">
        <v>815</v>
      </c>
      <c r="Q95" s="169"/>
      <c r="R95" s="169"/>
      <c r="S95" s="169"/>
      <c r="T95" s="169"/>
      <c r="U95" s="169"/>
      <c r="V95" s="169"/>
      <c r="W95" s="170"/>
      <c r="Y95" s="168" t="s">
        <v>815</v>
      </c>
      <c r="Z95" s="169"/>
      <c r="AA95" s="169"/>
      <c r="AB95" s="169"/>
      <c r="AC95" s="169"/>
      <c r="AD95" s="169"/>
      <c r="AE95" s="169"/>
      <c r="AF95" s="170"/>
      <c r="AH95" s="136" t="s">
        <v>815</v>
      </c>
      <c r="AI95" s="137"/>
      <c r="AJ95" s="137"/>
      <c r="AK95" s="137"/>
      <c r="AL95" s="137"/>
      <c r="AM95" s="137"/>
      <c r="AN95" s="137"/>
      <c r="AO95" s="138"/>
    </row>
    <row r="96" spans="2:41" x14ac:dyDescent="0.25">
      <c r="B96" s="12" t="s">
        <v>877</v>
      </c>
      <c r="C96" s="39">
        <f>C86+PV(C94,10,-C92/1000)</f>
        <v>86.821377411947481</v>
      </c>
      <c r="D96" s="39">
        <f t="shared" ref="D96:E96" si="88">D86+PV(D94,10,-D92/1000)</f>
        <v>100.34453021358752</v>
      </c>
      <c r="E96" s="39">
        <f t="shared" si="88"/>
        <v>116.19111313689919</v>
      </c>
      <c r="F96" s="12" t="s">
        <v>42</v>
      </c>
      <c r="G96" s="12"/>
      <c r="I96" s="12" t="s">
        <v>877</v>
      </c>
      <c r="J96" s="39">
        <f>J86+PV(J94,10,-J92/1000)</f>
        <v>440.17713100367405</v>
      </c>
      <c r="K96" s="39">
        <f t="shared" ref="K96:L96" si="89">K86+PV(K94,10,-K92/1000)</f>
        <v>129.95876524199014</v>
      </c>
      <c r="L96" s="39">
        <f t="shared" si="89"/>
        <v>76.705084325343208</v>
      </c>
      <c r="M96" s="12" t="s">
        <v>42</v>
      </c>
      <c r="N96" s="12"/>
      <c r="P96" s="27" t="s">
        <v>814</v>
      </c>
      <c r="Q96" s="24">
        <f>Q$5</f>
        <v>4000</v>
      </c>
      <c r="R96" s="24">
        <f>R$5</f>
        <v>3000</v>
      </c>
      <c r="S96" s="24">
        <f>S$5</f>
        <v>2000</v>
      </c>
      <c r="T96" s="24">
        <f>T$5</f>
        <v>1000</v>
      </c>
      <c r="U96" s="24">
        <f>U$5</f>
        <v>0</v>
      </c>
      <c r="V96" s="12" t="s">
        <v>767</v>
      </c>
      <c r="W96" s="12"/>
      <c r="Y96" s="27" t="s">
        <v>814</v>
      </c>
      <c r="Z96" s="24">
        <v>4000</v>
      </c>
      <c r="AA96" s="24">
        <v>3000</v>
      </c>
      <c r="AB96" s="24">
        <v>2000</v>
      </c>
      <c r="AC96" s="24">
        <v>1000</v>
      </c>
      <c r="AD96" s="24">
        <v>0</v>
      </c>
      <c r="AE96" s="12" t="s">
        <v>767</v>
      </c>
      <c r="AF96" s="12"/>
      <c r="AH96" s="27" t="s">
        <v>814</v>
      </c>
      <c r="AI96" s="24">
        <f>AI$5</f>
        <v>4000</v>
      </c>
      <c r="AJ96" s="24">
        <f t="shared" ref="AJ96:AM96" si="90">AJ$5</f>
        <v>3000</v>
      </c>
      <c r="AK96" s="24">
        <f t="shared" si="90"/>
        <v>2000</v>
      </c>
      <c r="AL96" s="24">
        <f t="shared" si="90"/>
        <v>1000</v>
      </c>
      <c r="AM96" s="24">
        <f t="shared" si="90"/>
        <v>0</v>
      </c>
      <c r="AN96" s="12" t="s">
        <v>767</v>
      </c>
      <c r="AO96" s="12"/>
    </row>
    <row r="97" spans="2:41" x14ac:dyDescent="0.25">
      <c r="B97" s="130" t="s">
        <v>878</v>
      </c>
      <c r="C97" s="131">
        <f>C86+PV(C94,20,-C92/1000)</f>
        <v>101.87941502763609</v>
      </c>
      <c r="D97" s="131">
        <f>D86+PV(D94,20,-D92/1000)</f>
        <v>117.44812933460338</v>
      </c>
      <c r="E97" s="131">
        <f t="shared" ref="E97" si="91">E86+PV(E94,20,-E92/1000)</f>
        <v>135.74803086899453</v>
      </c>
      <c r="F97" s="130" t="s">
        <v>42</v>
      </c>
      <c r="G97" s="130"/>
      <c r="I97" s="130" t="s">
        <v>878</v>
      </c>
      <c r="J97" s="131">
        <f>J86+PV(J94,20,-J92/1000)</f>
        <v>518.12329781362541</v>
      </c>
      <c r="K97" s="131">
        <f>K86+PV(K94,20,-K92/1000)</f>
        <v>145.50559165771571</v>
      </c>
      <c r="L97" s="131">
        <f t="shared" ref="L97" si="92">L86+PV(L94,20,-L92/1000)</f>
        <v>83.144326425879512</v>
      </c>
      <c r="M97" s="130" t="s">
        <v>42</v>
      </c>
      <c r="N97" s="130"/>
      <c r="P97" s="27" t="s">
        <v>865</v>
      </c>
      <c r="Q97" s="39">
        <f>Q86+PV($C$94,20,-Q92/1000)</f>
        <v>518.12329781362541</v>
      </c>
      <c r="R97" s="39">
        <f t="shared" ref="R97:U97" si="93">R86+PV($C$94,20,-R92/1000)</f>
        <v>429.45348464789998</v>
      </c>
      <c r="S97" s="39">
        <f t="shared" si="93"/>
        <v>340.78367148217455</v>
      </c>
      <c r="T97" s="39">
        <f t="shared" si="93"/>
        <v>252.11385831644918</v>
      </c>
      <c r="U97" s="39">
        <f t="shared" si="93"/>
        <v>163.44404515072372</v>
      </c>
      <c r="V97" s="12" t="s">
        <v>42</v>
      </c>
      <c r="W97" s="12"/>
      <c r="Y97" s="27" t="s">
        <v>865</v>
      </c>
      <c r="Z97" s="39">
        <f>Z86+PV($C$94,20,-Z92/1000)</f>
        <v>259.1357977028091</v>
      </c>
      <c r="AA97" s="39">
        <f t="shared" ref="AA97:AD97" si="94">AA86+PV($C$94,20,-AA92/1000)</f>
        <v>222.4808925269725</v>
      </c>
      <c r="AB97" s="39">
        <f t="shared" si="94"/>
        <v>185.82598735113595</v>
      </c>
      <c r="AC97" s="39">
        <f t="shared" si="94"/>
        <v>149.17108217529938</v>
      </c>
      <c r="AD97" s="39">
        <f t="shared" si="94"/>
        <v>112.51617699946277</v>
      </c>
      <c r="AE97" s="12" t="s">
        <v>42</v>
      </c>
      <c r="AF97" s="12"/>
      <c r="AH97" s="27" t="s">
        <v>865</v>
      </c>
      <c r="AI97" s="39">
        <f>AI86+PV($C$94,20,-AI92/1000)</f>
        <v>127.93956080159907</v>
      </c>
      <c r="AJ97" s="39">
        <f t="shared" ref="AJ97:AM97" si="95">AJ86+PV($C$94,20,-AJ92/1000)</f>
        <v>116.45360326936328</v>
      </c>
      <c r="AK97" s="39">
        <f t="shared" si="95"/>
        <v>104.96764573712751</v>
      </c>
      <c r="AL97" s="39">
        <f t="shared" si="95"/>
        <v>93.481688204891725</v>
      </c>
      <c r="AM97" s="39">
        <f t="shared" si="95"/>
        <v>81.995730672655924</v>
      </c>
      <c r="AN97" s="12" t="s">
        <v>42</v>
      </c>
      <c r="AO97" s="12"/>
    </row>
    <row r="98" spans="2:41" x14ac:dyDescent="0.25">
      <c r="C98" s="26"/>
      <c r="I98" s="12" t="s">
        <v>879</v>
      </c>
      <c r="J98" s="147">
        <f>J97/C97</f>
        <v>5.0856524615210823</v>
      </c>
      <c r="K98" s="147">
        <f t="shared" ref="K98:L98" si="96">K97/D97</f>
        <v>1.2388923730166714</v>
      </c>
      <c r="L98" s="147">
        <f t="shared" si="96"/>
        <v>0.61249011049095115</v>
      </c>
      <c r="M98" s="12"/>
      <c r="N98" s="12"/>
      <c r="P98" s="12" t="s">
        <v>866</v>
      </c>
      <c r="Q98" s="39">
        <f>$C$97</f>
        <v>101.87941502763609</v>
      </c>
      <c r="R98" s="39">
        <f>$C$97</f>
        <v>101.87941502763609</v>
      </c>
      <c r="S98" s="39">
        <f>$C$97</f>
        <v>101.87941502763609</v>
      </c>
      <c r="T98" s="39">
        <f>$C$97</f>
        <v>101.87941502763609</v>
      </c>
      <c r="U98" s="39">
        <f>$C$97</f>
        <v>101.87941502763609</v>
      </c>
      <c r="V98" s="12" t="s">
        <v>42</v>
      </c>
      <c r="W98" s="12"/>
      <c r="Y98" s="12" t="s">
        <v>866</v>
      </c>
      <c r="Z98" s="39">
        <f>$D$97</f>
        <v>117.44812933460338</v>
      </c>
      <c r="AA98" s="39">
        <f>$D$97</f>
        <v>117.44812933460338</v>
      </c>
      <c r="AB98" s="39">
        <f>$D$97</f>
        <v>117.44812933460338</v>
      </c>
      <c r="AC98" s="39">
        <f>$D$97</f>
        <v>117.44812933460338</v>
      </c>
      <c r="AD98" s="39">
        <f>$D$97</f>
        <v>117.44812933460338</v>
      </c>
      <c r="AE98" s="12" t="s">
        <v>42</v>
      </c>
      <c r="AF98" s="12"/>
      <c r="AH98" s="12" t="s">
        <v>866</v>
      </c>
      <c r="AI98" s="39">
        <f>$E$97</f>
        <v>135.74803086899453</v>
      </c>
      <c r="AJ98" s="39">
        <f>$E$97</f>
        <v>135.74803086899453</v>
      </c>
      <c r="AK98" s="39">
        <f>$E$97</f>
        <v>135.74803086899453</v>
      </c>
      <c r="AL98" s="39">
        <f>$E$97</f>
        <v>135.74803086899453</v>
      </c>
      <c r="AM98" s="39">
        <f>$E$97</f>
        <v>135.74803086899453</v>
      </c>
      <c r="AN98" s="12" t="s">
        <v>42</v>
      </c>
      <c r="AO98" s="12"/>
    </row>
    <row r="99" spans="2:41" x14ac:dyDescent="0.25">
      <c r="P99" s="12" t="s">
        <v>823</v>
      </c>
      <c r="Q99" s="12">
        <f>SLOPE(Q97:U97,Q96:U96)</f>
        <v>8.866981316572542E-2</v>
      </c>
      <c r="Y99" s="12" t="s">
        <v>823</v>
      </c>
      <c r="Z99" s="12">
        <f>SLOPE(Z97:AD97,Z96:AD96)</f>
        <v>3.6654905175836583E-2</v>
      </c>
      <c r="AA99" s="145"/>
      <c r="AB99" s="145"/>
      <c r="AC99" s="145"/>
      <c r="AD99" s="145"/>
      <c r="AH99" s="12" t="s">
        <v>823</v>
      </c>
      <c r="AI99" s="12">
        <f>SLOPE(AI97:AM97,AI96:AM96)</f>
        <v>1.1485957532235785E-2</v>
      </c>
    </row>
    <row r="100" spans="2:41" x14ac:dyDescent="0.25">
      <c r="B100" s="165" t="s">
        <v>64</v>
      </c>
      <c r="C100" s="166"/>
      <c r="D100" s="166"/>
      <c r="E100" s="166"/>
      <c r="F100" s="166"/>
      <c r="G100" s="167"/>
      <c r="I100" s="165" t="s">
        <v>64</v>
      </c>
      <c r="J100" s="166"/>
      <c r="K100" s="166"/>
      <c r="L100" s="166"/>
      <c r="M100" s="166"/>
      <c r="N100" s="167"/>
      <c r="P100" s="12" t="s">
        <v>824</v>
      </c>
      <c r="Q100" s="12">
        <f>INTERCEPT(Q97:U97,Q96:U96)</f>
        <v>163.44404515072378</v>
      </c>
      <c r="Y100" s="12" t="s">
        <v>824</v>
      </c>
      <c r="Z100" s="12">
        <f>INTERCEPT(Z97:AD97,Z96:AD96)</f>
        <v>112.51617699946279</v>
      </c>
      <c r="AC100" s="12" t="s">
        <v>863</v>
      </c>
      <c r="AD100" s="31">
        <f>900*Z99+Z100</f>
        <v>145.50559165771571</v>
      </c>
      <c r="AE100" s="12" t="s">
        <v>42</v>
      </c>
      <c r="AH100" s="12" t="s">
        <v>824</v>
      </c>
      <c r="AI100" s="12">
        <f>INTERCEPT(AI97:AM97,AI96:AM96)</f>
        <v>81.995730672655938</v>
      </c>
    </row>
    <row r="101" spans="2:41" x14ac:dyDescent="0.25">
      <c r="B101" s="130" t="s">
        <v>59</v>
      </c>
      <c r="C101" s="133">
        <f>SUM(C60:C60)</f>
        <v>3</v>
      </c>
      <c r="D101" s="133">
        <f>SUM(D60:D60)</f>
        <v>2</v>
      </c>
      <c r="E101" s="133">
        <f>SUM(E60:E60)</f>
        <v>1.5</v>
      </c>
      <c r="F101" s="130" t="s">
        <v>9</v>
      </c>
      <c r="G101" s="130"/>
      <c r="I101" s="130" t="s">
        <v>59</v>
      </c>
      <c r="J101" s="131">
        <f>J78</f>
        <v>11.225905554176057</v>
      </c>
      <c r="K101" s="131">
        <f>K78</f>
        <v>2.6081277937868625</v>
      </c>
      <c r="L101" s="131">
        <f>L78</f>
        <v>5.8216280792451482E-2</v>
      </c>
      <c r="M101" s="130" t="s">
        <v>9</v>
      </c>
      <c r="N101" s="134"/>
      <c r="P101" s="130" t="s">
        <v>825</v>
      </c>
      <c r="Q101" s="146">
        <f>(Q98-Q100)/Q99</f>
        <v>-694.31329474014262</v>
      </c>
      <c r="Y101" s="130" t="s">
        <v>825</v>
      </c>
      <c r="Z101" s="146">
        <f>(Z98-Z100)/Z99</f>
        <v>134.55095058851234</v>
      </c>
      <c r="AC101" s="12" t="s">
        <v>864</v>
      </c>
      <c r="AD101" s="31">
        <f>100*Z99+Z100</f>
        <v>116.18166751704645</v>
      </c>
      <c r="AE101" s="12" t="s">
        <v>42</v>
      </c>
      <c r="AH101" s="130" t="s">
        <v>825</v>
      </c>
      <c r="AI101" s="146">
        <f>(AI98-AI100)/AI99</f>
        <v>4679.8275237811631</v>
      </c>
    </row>
    <row r="103" spans="2:41" x14ac:dyDescent="0.25">
      <c r="B103" s="181" t="s">
        <v>445</v>
      </c>
      <c r="C103" s="181"/>
      <c r="D103" s="181"/>
      <c r="E103" s="181"/>
      <c r="F103" s="181"/>
      <c r="G103" s="181"/>
      <c r="I103" s="181" t="s">
        <v>445</v>
      </c>
      <c r="J103" s="181"/>
      <c r="K103" s="181"/>
      <c r="L103" s="181"/>
      <c r="M103" s="181"/>
      <c r="N103" s="181"/>
      <c r="O103" s="92"/>
      <c r="P103" s="27" t="s">
        <v>879</v>
      </c>
      <c r="Q103" s="144">
        <f>Q97/Q$98</f>
        <v>5.0856524615210823</v>
      </c>
      <c r="R103" s="144">
        <f>R97/R$98</f>
        <v>4.2153116459434443</v>
      </c>
      <c r="S103" s="144">
        <f>S97/S$98</f>
        <v>3.3449708303658072</v>
      </c>
      <c r="T103" s="144">
        <f>T97/T$98</f>
        <v>2.4746300147881697</v>
      </c>
      <c r="U103" s="144">
        <f>U97/U$98</f>
        <v>1.6042891992105319</v>
      </c>
      <c r="V103" s="12"/>
      <c r="W103" s="12"/>
      <c r="Y103" s="27" t="s">
        <v>879</v>
      </c>
      <c r="Z103" s="144">
        <f>Z97/Z$98</f>
        <v>2.2063850584162581</v>
      </c>
      <c r="AA103" s="144">
        <f>AA97/AA$98</f>
        <v>1.8942906437712299</v>
      </c>
      <c r="AB103" s="144">
        <f>AB97/AB$98</f>
        <v>1.5821962291262022</v>
      </c>
      <c r="AC103" s="144">
        <f>AC97/AC$98</f>
        <v>1.2701018144811742</v>
      </c>
      <c r="AD103" s="144">
        <f>AD97/AD$98</f>
        <v>0.95800739983614602</v>
      </c>
      <c r="AE103" s="12" t="s">
        <v>42</v>
      </c>
      <c r="AF103" s="12"/>
      <c r="AH103" s="27" t="s">
        <v>879</v>
      </c>
      <c r="AI103" s="144">
        <f>AI97/($E97/1000000000)</f>
        <v>942478207.47447062</v>
      </c>
      <c r="AJ103" s="144">
        <f>AJ97/($E97/1000000000)</f>
        <v>857865874.91459382</v>
      </c>
      <c r="AK103" s="144">
        <f>AK97/($E97/1000000000)</f>
        <v>773253542.35471714</v>
      </c>
      <c r="AL103" s="144">
        <f>AL97/($E97/1000000000)</f>
        <v>688641209.79484034</v>
      </c>
      <c r="AM103" s="144">
        <f>AM97/($E97/1000000000)</f>
        <v>604028877.23496342</v>
      </c>
      <c r="AN103" s="12" t="s">
        <v>42</v>
      </c>
      <c r="AO103" s="12"/>
    </row>
    <row r="104" spans="2:41" hidden="1" outlineLevel="1" x14ac:dyDescent="0.25">
      <c r="B104" s="174" t="s">
        <v>736</v>
      </c>
      <c r="C104" s="174"/>
      <c r="D104" s="174"/>
      <c r="E104" s="174"/>
      <c r="F104" s="174"/>
      <c r="G104" s="174"/>
      <c r="I104" s="165" t="s">
        <v>736</v>
      </c>
      <c r="J104" s="166"/>
      <c r="K104" s="166"/>
      <c r="L104" s="166"/>
      <c r="M104" s="166"/>
      <c r="N104" s="167"/>
      <c r="O104" s="93"/>
      <c r="P104" s="16"/>
    </row>
    <row r="105" spans="2:41" hidden="1" outlineLevel="1" x14ac:dyDescent="0.25">
      <c r="Q105" s="26"/>
      <c r="AI105" s="26"/>
    </row>
    <row r="106" spans="2:41" hidden="1" outlineLevel="1" x14ac:dyDescent="0.25">
      <c r="Q106" s="26"/>
      <c r="AI106" s="26"/>
    </row>
    <row r="107" spans="2:41" hidden="1" outlineLevel="1" x14ac:dyDescent="0.25">
      <c r="Q107" s="26"/>
      <c r="AI107" s="26"/>
    </row>
    <row r="108" spans="2:41" hidden="1" outlineLevel="1" x14ac:dyDescent="0.25">
      <c r="Q108" s="26"/>
      <c r="AI108" s="26"/>
    </row>
    <row r="109" spans="2:41" hidden="1" outlineLevel="1" x14ac:dyDescent="0.25">
      <c r="Q109" s="26"/>
      <c r="AI109" s="26"/>
    </row>
    <row r="110" spans="2:41" hidden="1" outlineLevel="1" x14ac:dyDescent="0.25">
      <c r="Q110" s="26"/>
      <c r="AI110" s="26"/>
    </row>
    <row r="111" spans="2:41" hidden="1" outlineLevel="1" x14ac:dyDescent="0.25">
      <c r="Q111" s="26"/>
      <c r="AI111" s="26"/>
    </row>
    <row r="112" spans="2:41" hidden="1" outlineLevel="1" x14ac:dyDescent="0.25">
      <c r="Q112" s="26"/>
      <c r="AI112" s="26"/>
    </row>
    <row r="113" spans="2:35" hidden="1" outlineLevel="1" x14ac:dyDescent="0.25">
      <c r="Q113" s="26"/>
      <c r="AI113" s="26"/>
    </row>
    <row r="114" spans="2:35" hidden="1" outlineLevel="1" x14ac:dyDescent="0.25">
      <c r="Q114" s="26"/>
      <c r="AI114" s="26"/>
    </row>
    <row r="115" spans="2:35" hidden="1" outlineLevel="1" x14ac:dyDescent="0.25">
      <c r="Q115" s="26"/>
      <c r="AI115" s="26"/>
    </row>
    <row r="116" spans="2:35" hidden="1" outlineLevel="1" x14ac:dyDescent="0.25">
      <c r="Q116" s="26"/>
      <c r="AI116" s="26"/>
    </row>
    <row r="117" spans="2:35" hidden="1" outlineLevel="1" x14ac:dyDescent="0.25">
      <c r="Q117" s="26"/>
      <c r="AI117" s="26"/>
    </row>
    <row r="118" spans="2:35" hidden="1" outlineLevel="1" x14ac:dyDescent="0.25">
      <c r="Q118" s="26"/>
      <c r="AI118" s="26"/>
    </row>
    <row r="119" spans="2:35" hidden="1" outlineLevel="1" x14ac:dyDescent="0.25">
      <c r="Q119" s="26"/>
      <c r="AI119" s="26"/>
    </row>
    <row r="120" spans="2:35" hidden="1" outlineLevel="1" x14ac:dyDescent="0.25">
      <c r="Q120" s="26"/>
      <c r="AI120" s="26"/>
    </row>
    <row r="121" spans="2:35" hidden="1" outlineLevel="1" x14ac:dyDescent="0.25">
      <c r="Q121" s="26"/>
      <c r="AI121" s="26"/>
    </row>
    <row r="122" spans="2:35" hidden="1" outlineLevel="1" x14ac:dyDescent="0.25">
      <c r="Q122" s="26"/>
      <c r="AI122" s="26"/>
    </row>
    <row r="123" spans="2:35" hidden="1" outlineLevel="1" x14ac:dyDescent="0.25">
      <c r="Q123" s="26"/>
      <c r="AI123" s="26"/>
    </row>
    <row r="124" spans="2:35" hidden="1" outlineLevel="1" x14ac:dyDescent="0.25">
      <c r="B124" s="174" t="s">
        <v>119</v>
      </c>
      <c r="C124" s="174"/>
      <c r="D124" s="174"/>
      <c r="E124" s="174"/>
      <c r="F124" s="174"/>
      <c r="G124" s="174"/>
      <c r="I124" s="165" t="s">
        <v>119</v>
      </c>
      <c r="J124" s="166"/>
      <c r="K124" s="166"/>
      <c r="L124" s="166"/>
      <c r="M124" s="166"/>
      <c r="N124" s="167"/>
    </row>
    <row r="125" spans="2:35" hidden="1" outlineLevel="1" x14ac:dyDescent="0.25"/>
    <row r="126" spans="2:35" hidden="1" outlineLevel="1" x14ac:dyDescent="0.25"/>
    <row r="127" spans="2:35" hidden="1" outlineLevel="1" x14ac:dyDescent="0.25"/>
    <row r="128" spans="2:35" hidden="1" outlineLevel="1" x14ac:dyDescent="0.25"/>
    <row r="129" spans="2:14" hidden="1" outlineLevel="1" x14ac:dyDescent="0.25"/>
    <row r="130" spans="2:14" hidden="1" outlineLevel="1" x14ac:dyDescent="0.25"/>
    <row r="131" spans="2:14" hidden="1" outlineLevel="1" x14ac:dyDescent="0.25"/>
    <row r="132" spans="2:14" hidden="1" outlineLevel="1" x14ac:dyDescent="0.25"/>
    <row r="133" spans="2:14" hidden="1" outlineLevel="1" x14ac:dyDescent="0.25"/>
    <row r="134" spans="2:14" hidden="1" outlineLevel="1" x14ac:dyDescent="0.25"/>
    <row r="135" spans="2:14" hidden="1" outlineLevel="1" x14ac:dyDescent="0.25"/>
    <row r="136" spans="2:14" hidden="1" outlineLevel="1" x14ac:dyDescent="0.25"/>
    <row r="137" spans="2:14" hidden="1" outlineLevel="1" x14ac:dyDescent="0.25"/>
    <row r="138" spans="2:14" hidden="1" outlineLevel="1" x14ac:dyDescent="0.25"/>
    <row r="139" spans="2:14" hidden="1" outlineLevel="1" x14ac:dyDescent="0.25"/>
    <row r="140" spans="2:14" hidden="1" outlineLevel="1" x14ac:dyDescent="0.25"/>
    <row r="141" spans="2:14" hidden="1" outlineLevel="1" x14ac:dyDescent="0.25"/>
    <row r="142" spans="2:14" hidden="1" outlineLevel="1" x14ac:dyDescent="0.25"/>
    <row r="143" spans="2:14" hidden="1" outlineLevel="1" x14ac:dyDescent="0.25"/>
    <row r="144" spans="2:14" hidden="1" outlineLevel="1" x14ac:dyDescent="0.25">
      <c r="B144" s="174" t="s">
        <v>737</v>
      </c>
      <c r="C144" s="174"/>
      <c r="D144" s="174"/>
      <c r="E144" s="174"/>
      <c r="F144" s="174"/>
      <c r="G144" s="174"/>
      <c r="I144" s="165" t="s">
        <v>737</v>
      </c>
      <c r="J144" s="166"/>
      <c r="K144" s="166"/>
      <c r="L144" s="166"/>
      <c r="M144" s="166"/>
      <c r="N144" s="167"/>
    </row>
    <row r="145" hidden="1" outlineLevel="1" x14ac:dyDescent="0.25"/>
    <row r="146" hidden="1" outlineLevel="1" x14ac:dyDescent="0.25"/>
    <row r="147" hidden="1" outlineLevel="1" x14ac:dyDescent="0.25"/>
    <row r="148" hidden="1" outlineLevel="1" x14ac:dyDescent="0.25"/>
    <row r="149" hidden="1" outlineLevel="1" x14ac:dyDescent="0.25"/>
    <row r="150" hidden="1" outlineLevel="1" x14ac:dyDescent="0.25"/>
    <row r="151" hidden="1" outlineLevel="1" x14ac:dyDescent="0.25"/>
    <row r="152" hidden="1" outlineLevel="1" x14ac:dyDescent="0.25"/>
    <row r="153" hidden="1" outlineLevel="1" x14ac:dyDescent="0.25"/>
    <row r="154" hidden="1" outlineLevel="1" x14ac:dyDescent="0.25"/>
    <row r="155" hidden="1" outlineLevel="1" x14ac:dyDescent="0.25"/>
    <row r="156" hidden="1" outlineLevel="1" x14ac:dyDescent="0.25"/>
    <row r="157" hidden="1" outlineLevel="1" x14ac:dyDescent="0.25"/>
    <row r="158" hidden="1" outlineLevel="1" x14ac:dyDescent="0.25"/>
    <row r="159" hidden="1" outlineLevel="1" x14ac:dyDescent="0.25"/>
    <row r="160" hidden="1" outlineLevel="1" x14ac:dyDescent="0.25"/>
    <row r="161" spans="2:14" hidden="1" outlineLevel="1" x14ac:dyDescent="0.25"/>
    <row r="162" spans="2:14" hidden="1" outlineLevel="1" x14ac:dyDescent="0.25"/>
    <row r="163" spans="2:14" hidden="1" outlineLevel="1" x14ac:dyDescent="0.25"/>
    <row r="164" spans="2:14" hidden="1" outlineLevel="1" x14ac:dyDescent="0.25">
      <c r="B164" s="174" t="s">
        <v>448</v>
      </c>
      <c r="C164" s="174"/>
      <c r="D164" s="174"/>
      <c r="E164" s="174"/>
      <c r="F164" s="174"/>
      <c r="G164" s="174"/>
      <c r="I164" s="165" t="s">
        <v>448</v>
      </c>
      <c r="J164" s="166"/>
      <c r="K164" s="166"/>
      <c r="L164" s="166"/>
      <c r="M164" s="166"/>
      <c r="N164" s="167"/>
    </row>
    <row r="165" spans="2:14" hidden="1" outlineLevel="1" x14ac:dyDescent="0.25"/>
    <row r="166" spans="2:14" hidden="1" outlineLevel="1" x14ac:dyDescent="0.25"/>
    <row r="167" spans="2:14" hidden="1" outlineLevel="1" x14ac:dyDescent="0.25"/>
    <row r="168" spans="2:14" hidden="1" outlineLevel="1" x14ac:dyDescent="0.25"/>
    <row r="169" spans="2:14" hidden="1" outlineLevel="1" x14ac:dyDescent="0.25"/>
    <row r="170" spans="2:14" hidden="1" outlineLevel="1" x14ac:dyDescent="0.25"/>
    <row r="171" spans="2:14" hidden="1" outlineLevel="1" x14ac:dyDescent="0.25"/>
    <row r="172" spans="2:14" hidden="1" outlineLevel="1" x14ac:dyDescent="0.25"/>
    <row r="173" spans="2:14" hidden="1" outlineLevel="1" x14ac:dyDescent="0.25"/>
    <row r="174" spans="2:14" hidden="1" outlineLevel="1" x14ac:dyDescent="0.25"/>
    <row r="175" spans="2:14" hidden="1" outlineLevel="1" x14ac:dyDescent="0.25"/>
    <row r="176" spans="2:14" hidden="1" outlineLevel="1" x14ac:dyDescent="0.25"/>
    <row r="177" spans="2:14" hidden="1" outlineLevel="1" x14ac:dyDescent="0.25"/>
    <row r="178" spans="2:14" hidden="1" outlineLevel="1" x14ac:dyDescent="0.25"/>
    <row r="179" spans="2:14" hidden="1" outlineLevel="1" x14ac:dyDescent="0.25"/>
    <row r="180" spans="2:14" hidden="1" outlineLevel="1" x14ac:dyDescent="0.25"/>
    <row r="181" spans="2:14" hidden="1" outlineLevel="1" x14ac:dyDescent="0.25"/>
    <row r="182" spans="2:14" hidden="1" outlineLevel="1" x14ac:dyDescent="0.25"/>
    <row r="183" spans="2:14" hidden="1" outlineLevel="1" x14ac:dyDescent="0.25"/>
    <row r="184" spans="2:14" collapsed="1" x14ac:dyDescent="0.25"/>
    <row r="185" spans="2:14" x14ac:dyDescent="0.25">
      <c r="B185" s="181" t="s">
        <v>447</v>
      </c>
      <c r="C185" s="181"/>
      <c r="D185" s="181"/>
      <c r="E185" s="181"/>
      <c r="F185" s="181"/>
      <c r="G185" s="181"/>
      <c r="I185" s="181" t="s">
        <v>447</v>
      </c>
      <c r="J185" s="181"/>
      <c r="K185" s="181"/>
      <c r="L185" s="181"/>
      <c r="M185" s="181"/>
      <c r="N185" s="181"/>
    </row>
    <row r="186" spans="2:14" hidden="1" outlineLevel="1" x14ac:dyDescent="0.25">
      <c r="B186" s="174" t="s">
        <v>736</v>
      </c>
      <c r="C186" s="174"/>
      <c r="D186" s="174"/>
      <c r="E186" s="174"/>
      <c r="F186" s="174"/>
      <c r="G186" s="174"/>
      <c r="I186" s="165" t="s">
        <v>736</v>
      </c>
      <c r="J186" s="166"/>
      <c r="K186" s="166"/>
      <c r="L186" s="166"/>
      <c r="M186" s="166"/>
      <c r="N186" s="167"/>
    </row>
    <row r="187" spans="2:14" hidden="1" outlineLevel="1" x14ac:dyDescent="0.25"/>
    <row r="188" spans="2:14" hidden="1" outlineLevel="1" x14ac:dyDescent="0.25"/>
    <row r="189" spans="2:14" hidden="1" outlineLevel="1" x14ac:dyDescent="0.25"/>
    <row r="190" spans="2:14" hidden="1" outlineLevel="1" x14ac:dyDescent="0.25"/>
    <row r="191" spans="2:14" hidden="1" outlineLevel="1" x14ac:dyDescent="0.25"/>
    <row r="192" spans="2:14" hidden="1" outlineLevel="1" x14ac:dyDescent="0.25"/>
    <row r="193" spans="2:14" hidden="1" outlineLevel="1" x14ac:dyDescent="0.25"/>
    <row r="194" spans="2:14" hidden="1" outlineLevel="1" x14ac:dyDescent="0.25"/>
    <row r="195" spans="2:14" hidden="1" outlineLevel="1" x14ac:dyDescent="0.25"/>
    <row r="196" spans="2:14" hidden="1" outlineLevel="1" x14ac:dyDescent="0.25"/>
    <row r="197" spans="2:14" hidden="1" outlineLevel="1" x14ac:dyDescent="0.25"/>
    <row r="198" spans="2:14" hidden="1" outlineLevel="1" x14ac:dyDescent="0.25"/>
    <row r="199" spans="2:14" hidden="1" outlineLevel="1" x14ac:dyDescent="0.25"/>
    <row r="200" spans="2:14" hidden="1" outlineLevel="1" x14ac:dyDescent="0.25"/>
    <row r="201" spans="2:14" hidden="1" outlineLevel="1" x14ac:dyDescent="0.25"/>
    <row r="202" spans="2:14" hidden="1" outlineLevel="1" x14ac:dyDescent="0.25"/>
    <row r="203" spans="2:14" hidden="1" outlineLevel="1" x14ac:dyDescent="0.25"/>
    <row r="204" spans="2:14" hidden="1" outlineLevel="1" x14ac:dyDescent="0.25"/>
    <row r="205" spans="2:14" hidden="1" outlineLevel="1" x14ac:dyDescent="0.25"/>
    <row r="206" spans="2:14" hidden="1" outlineLevel="1" x14ac:dyDescent="0.25">
      <c r="B206" s="174" t="s">
        <v>119</v>
      </c>
      <c r="C206" s="174"/>
      <c r="D206" s="174"/>
      <c r="E206" s="174"/>
      <c r="F206" s="174"/>
      <c r="G206" s="174"/>
      <c r="I206" s="165" t="s">
        <v>119</v>
      </c>
      <c r="J206" s="166"/>
      <c r="K206" s="166"/>
      <c r="L206" s="166"/>
      <c r="M206" s="166"/>
      <c r="N206" s="167"/>
    </row>
    <row r="207" spans="2:14" hidden="1" outlineLevel="1" x14ac:dyDescent="0.25"/>
    <row r="208" spans="2:14" hidden="1" outlineLevel="1" x14ac:dyDescent="0.25"/>
    <row r="209" hidden="1" outlineLevel="1" x14ac:dyDescent="0.25"/>
    <row r="210" hidden="1" outlineLevel="1" x14ac:dyDescent="0.25"/>
    <row r="211" hidden="1" outlineLevel="1" x14ac:dyDescent="0.25"/>
    <row r="212" hidden="1" outlineLevel="1" x14ac:dyDescent="0.25"/>
    <row r="213" hidden="1" outlineLevel="1" x14ac:dyDescent="0.25"/>
    <row r="214" hidden="1" outlineLevel="1" x14ac:dyDescent="0.25"/>
    <row r="215" hidden="1" outlineLevel="1" x14ac:dyDescent="0.25"/>
    <row r="216" hidden="1" outlineLevel="1" x14ac:dyDescent="0.25"/>
    <row r="217" hidden="1" outlineLevel="1" x14ac:dyDescent="0.25"/>
    <row r="218" hidden="1" outlineLevel="1" x14ac:dyDescent="0.25"/>
    <row r="219" hidden="1" outlineLevel="1" x14ac:dyDescent="0.25"/>
    <row r="220" hidden="1" outlineLevel="1" x14ac:dyDescent="0.25"/>
    <row r="221" hidden="1" outlineLevel="1" x14ac:dyDescent="0.25"/>
    <row r="222" hidden="1" outlineLevel="1" x14ac:dyDescent="0.25"/>
    <row r="223" hidden="1" outlineLevel="1" x14ac:dyDescent="0.25"/>
    <row r="224" hidden="1" outlineLevel="1" x14ac:dyDescent="0.25"/>
    <row r="225" spans="2:14" hidden="1" outlineLevel="1" x14ac:dyDescent="0.25"/>
    <row r="226" spans="2:14" hidden="1" outlineLevel="1" x14ac:dyDescent="0.25">
      <c r="B226" s="174" t="s">
        <v>737</v>
      </c>
      <c r="C226" s="174"/>
      <c r="D226" s="174"/>
      <c r="E226" s="174"/>
      <c r="F226" s="174"/>
      <c r="G226" s="174"/>
      <c r="I226" s="165" t="s">
        <v>737</v>
      </c>
      <c r="J226" s="166"/>
      <c r="K226" s="166"/>
      <c r="L226" s="166"/>
      <c r="M226" s="166"/>
      <c r="N226" s="167"/>
    </row>
    <row r="227" spans="2:14" hidden="1" outlineLevel="1" x14ac:dyDescent="0.25"/>
    <row r="228" spans="2:14" hidden="1" outlineLevel="1" x14ac:dyDescent="0.25"/>
    <row r="229" spans="2:14" hidden="1" outlineLevel="1" x14ac:dyDescent="0.25"/>
    <row r="230" spans="2:14" hidden="1" outlineLevel="1" x14ac:dyDescent="0.25"/>
    <row r="231" spans="2:14" hidden="1" outlineLevel="1" x14ac:dyDescent="0.25"/>
    <row r="232" spans="2:14" hidden="1" outlineLevel="1" x14ac:dyDescent="0.25"/>
    <row r="233" spans="2:14" hidden="1" outlineLevel="1" x14ac:dyDescent="0.25"/>
    <row r="234" spans="2:14" hidden="1" outlineLevel="1" x14ac:dyDescent="0.25"/>
    <row r="235" spans="2:14" hidden="1" outlineLevel="1" x14ac:dyDescent="0.25"/>
    <row r="236" spans="2:14" hidden="1" outlineLevel="1" x14ac:dyDescent="0.25"/>
    <row r="237" spans="2:14" hidden="1" outlineLevel="1" x14ac:dyDescent="0.25"/>
    <row r="238" spans="2:14" hidden="1" outlineLevel="1" x14ac:dyDescent="0.25"/>
    <row r="239" spans="2:14" hidden="1" outlineLevel="1" x14ac:dyDescent="0.25"/>
    <row r="240" spans="2:14" hidden="1" outlineLevel="1" x14ac:dyDescent="0.25"/>
    <row r="241" spans="2:14" hidden="1" outlineLevel="1" x14ac:dyDescent="0.25"/>
    <row r="242" spans="2:14" hidden="1" outlineLevel="1" x14ac:dyDescent="0.25"/>
    <row r="243" spans="2:14" hidden="1" outlineLevel="1" x14ac:dyDescent="0.25"/>
    <row r="244" spans="2:14" hidden="1" outlineLevel="1" x14ac:dyDescent="0.25"/>
    <row r="245" spans="2:14" hidden="1" outlineLevel="1" x14ac:dyDescent="0.25"/>
    <row r="246" spans="2:14" hidden="1" outlineLevel="1" x14ac:dyDescent="0.25">
      <c r="B246" s="174" t="s">
        <v>449</v>
      </c>
      <c r="C246" s="174"/>
      <c r="D246" s="174"/>
      <c r="E246" s="174"/>
      <c r="F246" s="174"/>
      <c r="G246" s="174"/>
      <c r="I246" s="165" t="s">
        <v>449</v>
      </c>
      <c r="J246" s="166"/>
      <c r="K246" s="166"/>
      <c r="L246" s="166"/>
      <c r="M246" s="166"/>
      <c r="N246" s="167"/>
    </row>
    <row r="247" spans="2:14" hidden="1" outlineLevel="1" x14ac:dyDescent="0.25"/>
    <row r="248" spans="2:14" hidden="1" outlineLevel="1" x14ac:dyDescent="0.25"/>
    <row r="249" spans="2:14" hidden="1" outlineLevel="1" x14ac:dyDescent="0.25"/>
    <row r="250" spans="2:14" hidden="1" outlineLevel="1" x14ac:dyDescent="0.25"/>
    <row r="251" spans="2:14" hidden="1" outlineLevel="1" x14ac:dyDescent="0.25"/>
    <row r="252" spans="2:14" hidden="1" outlineLevel="1" x14ac:dyDescent="0.25"/>
    <row r="253" spans="2:14" hidden="1" outlineLevel="1" x14ac:dyDescent="0.25"/>
    <row r="254" spans="2:14" hidden="1" outlineLevel="1" x14ac:dyDescent="0.25"/>
    <row r="255" spans="2:14" hidden="1" outlineLevel="1" x14ac:dyDescent="0.25"/>
    <row r="256" spans="2:14" hidden="1" outlineLevel="1" x14ac:dyDescent="0.25"/>
    <row r="257" spans="2:14" hidden="1" outlineLevel="1" x14ac:dyDescent="0.25"/>
    <row r="258" spans="2:14" hidden="1" outlineLevel="1" x14ac:dyDescent="0.25"/>
    <row r="259" spans="2:14" hidden="1" outlineLevel="1" x14ac:dyDescent="0.25"/>
    <row r="260" spans="2:14" hidden="1" outlineLevel="1" x14ac:dyDescent="0.25"/>
    <row r="261" spans="2:14" hidden="1" outlineLevel="1" x14ac:dyDescent="0.25"/>
    <row r="262" spans="2:14" hidden="1" outlineLevel="1" x14ac:dyDescent="0.25"/>
    <row r="263" spans="2:14" hidden="1" outlineLevel="1" x14ac:dyDescent="0.25"/>
    <row r="264" spans="2:14" hidden="1" outlineLevel="1" x14ac:dyDescent="0.25"/>
    <row r="265" spans="2:14" hidden="1" outlineLevel="1" x14ac:dyDescent="0.25"/>
    <row r="266" spans="2:14" collapsed="1" x14ac:dyDescent="0.25"/>
    <row r="267" spans="2:14" x14ac:dyDescent="0.25">
      <c r="B267" s="178" t="s">
        <v>149</v>
      </c>
      <c r="C267" s="179"/>
      <c r="D267" s="179"/>
      <c r="E267" s="179"/>
      <c r="F267" s="179"/>
      <c r="G267" s="179"/>
      <c r="H267" s="179"/>
      <c r="I267" s="179"/>
      <c r="J267" s="179"/>
      <c r="K267" s="179"/>
      <c r="L267" s="179"/>
      <c r="M267" s="179"/>
      <c r="N267" s="180"/>
    </row>
    <row r="268" spans="2:14" hidden="1" outlineLevel="1" x14ac:dyDescent="0.25">
      <c r="B268" s="165" t="s">
        <v>807</v>
      </c>
      <c r="C268" s="166"/>
      <c r="D268" s="166"/>
      <c r="E268" s="166"/>
      <c r="F268" s="166"/>
      <c r="G268" s="166"/>
      <c r="H268" s="166"/>
      <c r="I268" s="166"/>
      <c r="J268" s="166"/>
      <c r="K268" s="166"/>
      <c r="L268" s="166"/>
      <c r="M268" s="166"/>
      <c r="N268" s="167"/>
    </row>
    <row r="269" spans="2:14" hidden="1" outlineLevel="1" x14ac:dyDescent="0.25"/>
    <row r="270" spans="2:14" hidden="1" outlineLevel="1" x14ac:dyDescent="0.25"/>
    <row r="271" spans="2:14" hidden="1" outlineLevel="1" x14ac:dyDescent="0.25"/>
    <row r="272" spans="2:14" hidden="1" outlineLevel="1" x14ac:dyDescent="0.25"/>
    <row r="273" spans="2:14" hidden="1" outlineLevel="1" x14ac:dyDescent="0.25"/>
    <row r="274" spans="2:14" hidden="1" outlineLevel="1" x14ac:dyDescent="0.25"/>
    <row r="275" spans="2:14" hidden="1" outlineLevel="1" x14ac:dyDescent="0.25"/>
    <row r="276" spans="2:14" hidden="1" outlineLevel="1" x14ac:dyDescent="0.25"/>
    <row r="277" spans="2:14" hidden="1" outlineLevel="1" x14ac:dyDescent="0.25"/>
    <row r="278" spans="2:14" hidden="1" outlineLevel="1" x14ac:dyDescent="0.25"/>
    <row r="279" spans="2:14" hidden="1" outlineLevel="1" x14ac:dyDescent="0.25"/>
    <row r="280" spans="2:14" hidden="1" outlineLevel="1" x14ac:dyDescent="0.25"/>
    <row r="281" spans="2:14" hidden="1" outlineLevel="1" x14ac:dyDescent="0.25"/>
    <row r="282" spans="2:14" hidden="1" outlineLevel="1" x14ac:dyDescent="0.25"/>
    <row r="283" spans="2:14" hidden="1" outlineLevel="1" x14ac:dyDescent="0.25"/>
    <row r="284" spans="2:14" hidden="1" outlineLevel="1" x14ac:dyDescent="0.25"/>
    <row r="285" spans="2:14" hidden="1" outlineLevel="1" x14ac:dyDescent="0.25"/>
    <row r="286" spans="2:14" hidden="1" outlineLevel="1" x14ac:dyDescent="0.25"/>
    <row r="287" spans="2:14" hidden="1" outlineLevel="1" x14ac:dyDescent="0.25"/>
    <row r="288" spans="2:14" hidden="1" outlineLevel="1" x14ac:dyDescent="0.25">
      <c r="B288" s="165" t="s">
        <v>808</v>
      </c>
      <c r="C288" s="166"/>
      <c r="D288" s="166"/>
      <c r="E288" s="166"/>
      <c r="F288" s="166"/>
      <c r="G288" s="166"/>
      <c r="H288" s="166"/>
      <c r="I288" s="166"/>
      <c r="J288" s="166"/>
      <c r="K288" s="166"/>
      <c r="L288" s="166"/>
      <c r="M288" s="166"/>
      <c r="N288" s="167"/>
    </row>
    <row r="289" hidden="1" outlineLevel="1" x14ac:dyDescent="0.25"/>
    <row r="290" hidden="1" outlineLevel="1" x14ac:dyDescent="0.25"/>
    <row r="291" hidden="1" outlineLevel="1" x14ac:dyDescent="0.25"/>
    <row r="292" hidden="1" outlineLevel="1" x14ac:dyDescent="0.25"/>
    <row r="293" hidden="1" outlineLevel="1" x14ac:dyDescent="0.25"/>
    <row r="294" hidden="1" outlineLevel="1" x14ac:dyDescent="0.25"/>
    <row r="295" hidden="1" outlineLevel="1" x14ac:dyDescent="0.25"/>
    <row r="296" hidden="1" outlineLevel="1" x14ac:dyDescent="0.25"/>
    <row r="297" hidden="1" outlineLevel="1" x14ac:dyDescent="0.25"/>
    <row r="298" hidden="1" outlineLevel="1" x14ac:dyDescent="0.25"/>
    <row r="299" hidden="1" outlineLevel="1" x14ac:dyDescent="0.25"/>
    <row r="300" hidden="1" outlineLevel="1" x14ac:dyDescent="0.25"/>
    <row r="301" hidden="1" outlineLevel="1" x14ac:dyDescent="0.25"/>
    <row r="302" hidden="1" outlineLevel="1" x14ac:dyDescent="0.25"/>
    <row r="303" hidden="1" outlineLevel="1" x14ac:dyDescent="0.25"/>
    <row r="304" hidden="1" outlineLevel="1" x14ac:dyDescent="0.25"/>
    <row r="305" spans="2:15" hidden="1" outlineLevel="1" x14ac:dyDescent="0.25"/>
    <row r="306" spans="2:15" hidden="1" outlineLevel="1" x14ac:dyDescent="0.25"/>
    <row r="307" spans="2:15" hidden="1" outlineLevel="1" x14ac:dyDescent="0.25"/>
    <row r="308" spans="2:15" hidden="1" outlineLevel="1" x14ac:dyDescent="0.25">
      <c r="B308" s="165" t="s">
        <v>809</v>
      </c>
      <c r="C308" s="166"/>
      <c r="D308" s="166"/>
      <c r="E308" s="166"/>
      <c r="F308" s="166"/>
      <c r="G308" s="166"/>
      <c r="H308" s="166"/>
      <c r="I308" s="166"/>
      <c r="J308" s="166"/>
      <c r="K308" s="166"/>
      <c r="L308" s="166"/>
      <c r="M308" s="166"/>
      <c r="N308" s="167"/>
    </row>
    <row r="309" spans="2:15" hidden="1" outlineLevel="1" x14ac:dyDescent="0.25"/>
    <row r="310" spans="2:15" hidden="1" outlineLevel="1" x14ac:dyDescent="0.25"/>
    <row r="311" spans="2:15" hidden="1" outlineLevel="1" x14ac:dyDescent="0.25">
      <c r="O311" s="29"/>
    </row>
    <row r="312" spans="2:15" hidden="1" outlineLevel="1" x14ac:dyDescent="0.25">
      <c r="O312" s="29"/>
    </row>
    <row r="313" spans="2:15" hidden="1" outlineLevel="1" x14ac:dyDescent="0.25">
      <c r="O313" s="29"/>
    </row>
    <row r="314" spans="2:15" hidden="1" outlineLevel="1" x14ac:dyDescent="0.25">
      <c r="O314" s="29"/>
    </row>
    <row r="315" spans="2:15" hidden="1" outlineLevel="1" x14ac:dyDescent="0.25"/>
    <row r="316" spans="2:15" hidden="1" outlineLevel="1" x14ac:dyDescent="0.25"/>
    <row r="317" spans="2:15" hidden="1" outlineLevel="1" x14ac:dyDescent="0.25"/>
    <row r="318" spans="2:15" hidden="1" outlineLevel="1" x14ac:dyDescent="0.25"/>
    <row r="319" spans="2:15" hidden="1" outlineLevel="1" x14ac:dyDescent="0.25"/>
    <row r="320" spans="2:15" hidden="1" outlineLevel="1" x14ac:dyDescent="0.25"/>
    <row r="321" spans="2:14" hidden="1" outlineLevel="1" x14ac:dyDescent="0.25"/>
    <row r="322" spans="2:14" hidden="1" outlineLevel="1" x14ac:dyDescent="0.25"/>
    <row r="323" spans="2:14" hidden="1" outlineLevel="1" x14ac:dyDescent="0.25"/>
    <row r="324" spans="2:14" hidden="1" outlineLevel="1" x14ac:dyDescent="0.25"/>
    <row r="325" spans="2:14" hidden="1" outlineLevel="1" x14ac:dyDescent="0.25"/>
    <row r="326" spans="2:14" hidden="1" outlineLevel="1" x14ac:dyDescent="0.25"/>
    <row r="327" spans="2:14" hidden="1" outlineLevel="1" x14ac:dyDescent="0.25"/>
    <row r="328" spans="2:14" hidden="1" outlineLevel="1" x14ac:dyDescent="0.25">
      <c r="B328" s="165" t="s">
        <v>810</v>
      </c>
      <c r="C328" s="166"/>
      <c r="D328" s="166"/>
      <c r="E328" s="166"/>
      <c r="F328" s="166"/>
      <c r="G328" s="166"/>
      <c r="H328" s="166"/>
      <c r="I328" s="166"/>
      <c r="J328" s="166"/>
      <c r="K328" s="166"/>
      <c r="L328" s="166"/>
      <c r="M328" s="166"/>
      <c r="N328" s="167"/>
    </row>
    <row r="329" spans="2:14" hidden="1" outlineLevel="1" x14ac:dyDescent="0.25"/>
    <row r="330" spans="2:14" hidden="1" outlineLevel="1" x14ac:dyDescent="0.25"/>
    <row r="331" spans="2:14" hidden="1" outlineLevel="1" x14ac:dyDescent="0.25"/>
    <row r="332" spans="2:14" hidden="1" outlineLevel="1" x14ac:dyDescent="0.25"/>
    <row r="333" spans="2:14" hidden="1" outlineLevel="1" x14ac:dyDescent="0.25"/>
    <row r="334" spans="2:14" hidden="1" outlineLevel="1" x14ac:dyDescent="0.25"/>
    <row r="335" spans="2:14" hidden="1" outlineLevel="1" x14ac:dyDescent="0.25"/>
    <row r="336" spans="2:14" hidden="1" outlineLevel="1" x14ac:dyDescent="0.25"/>
    <row r="337" spans="2:14" hidden="1" outlineLevel="1" x14ac:dyDescent="0.25"/>
    <row r="338" spans="2:14" hidden="1" outlineLevel="1" x14ac:dyDescent="0.25"/>
    <row r="339" spans="2:14" hidden="1" outlineLevel="1" x14ac:dyDescent="0.25"/>
    <row r="340" spans="2:14" hidden="1" outlineLevel="1" x14ac:dyDescent="0.25"/>
    <row r="341" spans="2:14" hidden="1" outlineLevel="1" x14ac:dyDescent="0.25"/>
    <row r="342" spans="2:14" hidden="1" outlineLevel="1" x14ac:dyDescent="0.25"/>
    <row r="343" spans="2:14" hidden="1" outlineLevel="1" x14ac:dyDescent="0.25"/>
    <row r="344" spans="2:14" hidden="1" outlineLevel="1" x14ac:dyDescent="0.25"/>
    <row r="345" spans="2:14" hidden="1" outlineLevel="1" x14ac:dyDescent="0.25"/>
    <row r="346" spans="2:14" hidden="1" outlineLevel="1" x14ac:dyDescent="0.25"/>
    <row r="347" spans="2:14" hidden="1" outlineLevel="1" x14ac:dyDescent="0.25"/>
    <row r="348" spans="2:14" hidden="1" outlineLevel="1" x14ac:dyDescent="0.25"/>
    <row r="349" spans="2:14" collapsed="1" x14ac:dyDescent="0.25"/>
    <row r="350" spans="2:14" x14ac:dyDescent="0.25">
      <c r="B350" s="171" t="s">
        <v>770</v>
      </c>
      <c r="C350" s="172"/>
      <c r="D350" s="172"/>
      <c r="E350" s="172"/>
      <c r="F350" s="172"/>
      <c r="G350" s="172"/>
      <c r="H350" s="172"/>
      <c r="I350" s="172"/>
      <c r="J350" s="172"/>
      <c r="K350" s="172"/>
      <c r="L350" s="172"/>
      <c r="M350" s="172"/>
      <c r="N350" s="173"/>
    </row>
    <row r="351" spans="2:14" hidden="1" outlineLevel="1" x14ac:dyDescent="0.25"/>
    <row r="352" spans="2:14" hidden="1" outlineLevel="1" x14ac:dyDescent="0.25"/>
    <row r="353" hidden="1" outlineLevel="1" x14ac:dyDescent="0.25"/>
    <row r="354" hidden="1" outlineLevel="1" x14ac:dyDescent="0.25"/>
    <row r="355" hidden="1" outlineLevel="1" x14ac:dyDescent="0.25"/>
    <row r="356" hidden="1" outlineLevel="1" x14ac:dyDescent="0.25"/>
    <row r="357" hidden="1" outlineLevel="1" x14ac:dyDescent="0.25"/>
    <row r="358" hidden="1" outlineLevel="1" x14ac:dyDescent="0.25"/>
    <row r="359" hidden="1" outlineLevel="1" x14ac:dyDescent="0.25"/>
    <row r="360" hidden="1" outlineLevel="1" x14ac:dyDescent="0.25"/>
    <row r="361" hidden="1" outlineLevel="1" x14ac:dyDescent="0.25"/>
    <row r="362" hidden="1" outlineLevel="1" x14ac:dyDescent="0.25"/>
    <row r="363" hidden="1" outlineLevel="1" x14ac:dyDescent="0.25"/>
    <row r="364" hidden="1" outlineLevel="1" x14ac:dyDescent="0.25"/>
    <row r="365" hidden="1" outlineLevel="1" x14ac:dyDescent="0.25"/>
    <row r="366" hidden="1" outlineLevel="1" x14ac:dyDescent="0.25"/>
    <row r="367" hidden="1" outlineLevel="1" x14ac:dyDescent="0.25"/>
    <row r="368" hidden="1" outlineLevel="1" x14ac:dyDescent="0.25"/>
    <row r="369" spans="2:2" hidden="1" outlineLevel="1" x14ac:dyDescent="0.25"/>
    <row r="370" spans="2:2" hidden="1" outlineLevel="1" x14ac:dyDescent="0.25"/>
    <row r="371" spans="2:2" collapsed="1" x14ac:dyDescent="0.25"/>
    <row r="376" spans="2:2" x14ac:dyDescent="0.25">
      <c r="B376" s="65"/>
    </row>
  </sheetData>
  <mergeCells count="68">
    <mergeCell ref="Y2:AF2"/>
    <mergeCell ref="AH2:AO2"/>
    <mergeCell ref="P2:W2"/>
    <mergeCell ref="B226:G226"/>
    <mergeCell ref="I226:N226"/>
    <mergeCell ref="B124:G124"/>
    <mergeCell ref="I124:N124"/>
    <mergeCell ref="B144:G144"/>
    <mergeCell ref="I144:N144"/>
    <mergeCell ref="B164:G164"/>
    <mergeCell ref="I164:N164"/>
    <mergeCell ref="B2:G2"/>
    <mergeCell ref="B7:G7"/>
    <mergeCell ref="I7:N7"/>
    <mergeCell ref="B12:G12"/>
    <mergeCell ref="B21:G21"/>
    <mergeCell ref="B103:G103"/>
    <mergeCell ref="B104:G104"/>
    <mergeCell ref="I103:N103"/>
    <mergeCell ref="I104:N104"/>
    <mergeCell ref="B185:G185"/>
    <mergeCell ref="I185:N185"/>
    <mergeCell ref="B186:G186"/>
    <mergeCell ref="I186:N186"/>
    <mergeCell ref="B206:G206"/>
    <mergeCell ref="I206:N206"/>
    <mergeCell ref="B267:N267"/>
    <mergeCell ref="B328:N328"/>
    <mergeCell ref="B268:N268"/>
    <mergeCell ref="B288:N288"/>
    <mergeCell ref="B308:N308"/>
    <mergeCell ref="B246:G246"/>
    <mergeCell ref="I246:N246"/>
    <mergeCell ref="B81:G81"/>
    <mergeCell ref="B43:G43"/>
    <mergeCell ref="B80:G80"/>
    <mergeCell ref="I80:N80"/>
    <mergeCell ref="I12:N12"/>
    <mergeCell ref="I21:N21"/>
    <mergeCell ref="B350:N350"/>
    <mergeCell ref="I81:N81"/>
    <mergeCell ref="P8:W8"/>
    <mergeCell ref="P12:W12"/>
    <mergeCell ref="P21:W21"/>
    <mergeCell ref="P43:W43"/>
    <mergeCell ref="P56:W56"/>
    <mergeCell ref="P81:W81"/>
    <mergeCell ref="P95:W95"/>
    <mergeCell ref="B100:G100"/>
    <mergeCell ref="I100:N100"/>
    <mergeCell ref="I56:N56"/>
    <mergeCell ref="I43:N43"/>
    <mergeCell ref="B56:G56"/>
    <mergeCell ref="B8:G8"/>
    <mergeCell ref="I8:N8"/>
    <mergeCell ref="Y81:AF81"/>
    <mergeCell ref="Y95:AF95"/>
    <mergeCell ref="AH8:AO8"/>
    <mergeCell ref="AH12:AO12"/>
    <mergeCell ref="AH21:AO21"/>
    <mergeCell ref="AH43:AO43"/>
    <mergeCell ref="AH56:AO56"/>
    <mergeCell ref="AH81:AO81"/>
    <mergeCell ref="Y8:AF8"/>
    <mergeCell ref="Y12:AF12"/>
    <mergeCell ref="Y21:AF21"/>
    <mergeCell ref="Y43:AF43"/>
    <mergeCell ref="Y56:AF56"/>
  </mergeCells>
  <conditionalFormatting sqref="C1:D1 G1 J1:L15 C2:E48 J36:L39 J43:L59 C55:E58 C60:E63 J61:L65 Q61:U65 Z61:AD65 AI61:AM65 C66:E69 J67:L78 Q67:U78 Z67:AD78 AI67:AM78 C74:E76 C80:E102 C104:E145 C269:E287 C289:E293 C311:E314 C331:E349 C351:E1048576">
    <cfRule type="cellIs" dxfId="116" priority="267" operator="equal">
      <formula>"Moderate"</formula>
    </cfRule>
    <cfRule type="cellIs" dxfId="115" priority="266" operator="equal">
      <formula>"Aggressive"</formula>
    </cfRule>
    <cfRule type="cellIs" dxfId="114" priority="268" operator="equal">
      <formula>"Conservative"</formula>
    </cfRule>
  </conditionalFormatting>
  <conditionalFormatting sqref="C147:E184">
    <cfRule type="cellIs" dxfId="113" priority="117" operator="equal">
      <formula>"Conservative"</formula>
    </cfRule>
    <cfRule type="cellIs" dxfId="112" priority="116" operator="equal">
      <formula>"Moderate"</formula>
    </cfRule>
    <cfRule type="cellIs" dxfId="111" priority="115" operator="equal">
      <formula>"Aggressive"</formula>
    </cfRule>
  </conditionalFormatting>
  <conditionalFormatting sqref="C186:E266">
    <cfRule type="cellIs" dxfId="110" priority="105" operator="equal">
      <formula>"Conservative"</formula>
    </cfRule>
    <cfRule type="cellIs" dxfId="109" priority="104" operator="equal">
      <formula>"Moderate"</formula>
    </cfRule>
    <cfRule type="cellIs" dxfId="108" priority="103" operator="equal">
      <formula>"Aggressive"</formula>
    </cfRule>
  </conditionalFormatting>
  <conditionalFormatting sqref="J18:L33">
    <cfRule type="cellIs" dxfId="107" priority="99" operator="equal">
      <formula>"Conservative"</formula>
    </cfRule>
    <cfRule type="cellIs" dxfId="106" priority="98" operator="equal">
      <formula>"Moderate"</formula>
    </cfRule>
    <cfRule type="cellIs" dxfId="105" priority="97" operator="equal">
      <formula>"Aggressive"</formula>
    </cfRule>
  </conditionalFormatting>
  <conditionalFormatting sqref="J80:L102">
    <cfRule type="cellIs" dxfId="104" priority="1" operator="equal">
      <formula>"Aggressive"</formula>
    </cfRule>
    <cfRule type="cellIs" dxfId="103" priority="2" operator="equal">
      <formula>"Moderate"</formula>
    </cfRule>
    <cfRule type="cellIs" dxfId="102" priority="3" operator="equal">
      <formula>"Conservative"</formula>
    </cfRule>
  </conditionalFormatting>
  <conditionalFormatting sqref="J104:L145 J329:L349">
    <cfRule type="cellIs" dxfId="101" priority="86" operator="equal">
      <formula>"Aggressive"</formula>
    </cfRule>
    <cfRule type="cellIs" dxfId="100" priority="87" operator="equal">
      <formula>"Moderate"</formula>
    </cfRule>
    <cfRule type="cellIs" dxfId="99" priority="85" operator="equal">
      <formula>"Conservative"</formula>
    </cfRule>
  </conditionalFormatting>
  <conditionalFormatting sqref="J147:L184">
    <cfRule type="cellIs" dxfId="98" priority="82" operator="equal">
      <formula>"Conservative"</formula>
    </cfRule>
    <cfRule type="cellIs" dxfId="97" priority="83" operator="equal">
      <formula>"Aggressive"</formula>
    </cfRule>
    <cfRule type="cellIs" dxfId="96" priority="84" operator="equal">
      <formula>"Moderate"</formula>
    </cfRule>
  </conditionalFormatting>
  <conditionalFormatting sqref="J186:L266">
    <cfRule type="cellIs" dxfId="95" priority="70" operator="equal">
      <formula>"Conservative"</formula>
    </cfRule>
    <cfRule type="cellIs" dxfId="94" priority="71" operator="equal">
      <formula>"Aggressive"</formula>
    </cfRule>
    <cfRule type="cellIs" dxfId="93" priority="72" operator="equal">
      <formula>"Moderate"</formula>
    </cfRule>
  </conditionalFormatting>
  <conditionalFormatting sqref="Q1:U7 Q9:U11 Q13:U15">
    <cfRule type="cellIs" dxfId="92" priority="208" operator="equal">
      <formula>"Aggressive"</formula>
    </cfRule>
    <cfRule type="cellIs" dxfId="91" priority="210" operator="equal">
      <formula>"Conservative"</formula>
    </cfRule>
    <cfRule type="cellIs" dxfId="90" priority="209" operator="equal">
      <formula>"Moderate"</formula>
    </cfRule>
  </conditionalFormatting>
  <conditionalFormatting sqref="Q18:U20 Z18:AD20 AI18:AM20 Q22:U33 Z22:AD33 AI22:AM33 J269:L287 J289:L293 J311:L327 J351:L1048576">
    <cfRule type="cellIs" dxfId="89" priority="265" operator="equal">
      <formula>"Moderate"</formula>
    </cfRule>
    <cfRule type="cellIs" dxfId="88" priority="264" operator="equal">
      <formula>"Aggressive"</formula>
    </cfRule>
    <cfRule type="cellIs" dxfId="87" priority="262" operator="equal">
      <formula>"Conservative"</formula>
    </cfRule>
  </conditionalFormatting>
  <conditionalFormatting sqref="Q36:U39">
    <cfRule type="cellIs" dxfId="86" priority="59" operator="equal">
      <formula>"Moderate"</formula>
    </cfRule>
    <cfRule type="cellIs" dxfId="85" priority="58" operator="equal">
      <formula>"Aggressive"</formula>
    </cfRule>
    <cfRule type="cellIs" dxfId="84" priority="60" operator="equal">
      <formula>"Conservative"</formula>
    </cfRule>
  </conditionalFormatting>
  <conditionalFormatting sqref="Q44:U55">
    <cfRule type="cellIs" dxfId="83" priority="57" operator="equal">
      <formula>"Conservative"</formula>
    </cfRule>
    <cfRule type="cellIs" dxfId="82" priority="56" operator="equal">
      <formula>"Moderate"</formula>
    </cfRule>
    <cfRule type="cellIs" dxfId="81" priority="55" operator="equal">
      <formula>"Aggressive"</formula>
    </cfRule>
  </conditionalFormatting>
  <conditionalFormatting sqref="Q57:U59">
    <cfRule type="cellIs" dxfId="80" priority="54" operator="equal">
      <formula>"Conservative"</formula>
    </cfRule>
    <cfRule type="cellIs" dxfId="79" priority="53" operator="equal">
      <formula>"Moderate"</formula>
    </cfRule>
    <cfRule type="cellIs" dxfId="78" priority="52" operator="equal">
      <formula>"Aggressive"</formula>
    </cfRule>
  </conditionalFormatting>
  <conditionalFormatting sqref="Q80:U80 Q82:U98">
    <cfRule type="cellIs" dxfId="77" priority="201" operator="equal">
      <formula>"Moderate"</formula>
    </cfRule>
    <cfRule type="cellIs" dxfId="76" priority="200" operator="equal">
      <formula>"Aggressive"</formula>
    </cfRule>
    <cfRule type="cellIs" dxfId="75" priority="199" operator="equal">
      <formula>"Conservative"</formula>
    </cfRule>
  </conditionalFormatting>
  <conditionalFormatting sqref="Q356:U1048576">
    <cfRule type="cellIs" dxfId="74" priority="242" operator="equal">
      <formula>"Aggressive"</formula>
    </cfRule>
    <cfRule type="cellIs" dxfId="73" priority="243" operator="equal">
      <formula>"Moderate"</formula>
    </cfRule>
    <cfRule type="cellIs" dxfId="72" priority="241" operator="equal">
      <formula>"Conservative"</formula>
    </cfRule>
  </conditionalFormatting>
  <conditionalFormatting sqref="Z1:AD7 Z9:AD11 Z13:AD15">
    <cfRule type="cellIs" dxfId="71" priority="192" operator="equal">
      <formula>"Conservative"</formula>
    </cfRule>
    <cfRule type="cellIs" dxfId="70" priority="191" operator="equal">
      <formula>"Moderate"</formula>
    </cfRule>
    <cfRule type="cellIs" dxfId="69" priority="190" operator="equal">
      <formula>"Aggressive"</formula>
    </cfRule>
  </conditionalFormatting>
  <conditionalFormatting sqref="Z36:AD39">
    <cfRule type="cellIs" dxfId="68" priority="49" operator="equal">
      <formula>"Aggressive"</formula>
    </cfRule>
    <cfRule type="cellIs" dxfId="67" priority="51" operator="equal">
      <formula>"Conservative"</formula>
    </cfRule>
    <cfRule type="cellIs" dxfId="66" priority="50" operator="equal">
      <formula>"Moderate"</formula>
    </cfRule>
  </conditionalFormatting>
  <conditionalFormatting sqref="Z44:AD55">
    <cfRule type="cellIs" dxfId="65" priority="46" operator="equal">
      <formula>"Aggressive"</formula>
    </cfRule>
    <cfRule type="cellIs" dxfId="64" priority="48" operator="equal">
      <formula>"Conservative"</formula>
    </cfRule>
    <cfRule type="cellIs" dxfId="63" priority="47" operator="equal">
      <formula>"Moderate"</formula>
    </cfRule>
  </conditionalFormatting>
  <conditionalFormatting sqref="Z57:AD59">
    <cfRule type="cellIs" dxfId="62" priority="43" operator="equal">
      <formula>"Aggressive"</formula>
    </cfRule>
    <cfRule type="cellIs" dxfId="61" priority="44" operator="equal">
      <formula>"Moderate"</formula>
    </cfRule>
    <cfRule type="cellIs" dxfId="60" priority="45" operator="equal">
      <formula>"Conservative"</formula>
    </cfRule>
  </conditionalFormatting>
  <conditionalFormatting sqref="Z80:AD80">
    <cfRule type="cellIs" dxfId="59" priority="182" operator="equal">
      <formula>"Aggressive"</formula>
    </cfRule>
    <cfRule type="cellIs" dxfId="58" priority="183" operator="equal">
      <formula>"Moderate"</formula>
    </cfRule>
    <cfRule type="cellIs" dxfId="57" priority="181" operator="equal">
      <formula>"Conservative"</formula>
    </cfRule>
  </conditionalFormatting>
  <conditionalFormatting sqref="Z82:AD98">
    <cfRule type="cellIs" dxfId="56" priority="10" operator="equal">
      <formula>"Conservative"</formula>
    </cfRule>
    <cfRule type="cellIs" dxfId="55" priority="12" operator="equal">
      <formula>"Moderate"</formula>
    </cfRule>
    <cfRule type="cellIs" dxfId="54" priority="11" operator="equal">
      <formula>"Aggressive"</formula>
    </cfRule>
  </conditionalFormatting>
  <conditionalFormatting sqref="Z356:AD1048576">
    <cfRule type="cellIs" dxfId="53" priority="193" operator="equal">
      <formula>"Conservative"</formula>
    </cfRule>
    <cfRule type="cellIs" dxfId="52" priority="194" operator="equal">
      <formula>"Aggressive"</formula>
    </cfRule>
    <cfRule type="cellIs" dxfId="51" priority="195" operator="equal">
      <formula>"Moderate"</formula>
    </cfRule>
  </conditionalFormatting>
  <conditionalFormatting sqref="AI1:AM7 AI9:AM11 AI13:AM15">
    <cfRule type="cellIs" dxfId="50" priority="174" operator="equal">
      <formula>"Conservative"</formula>
    </cfRule>
    <cfRule type="cellIs" dxfId="49" priority="172" operator="equal">
      <formula>"Aggressive"</formula>
    </cfRule>
    <cfRule type="cellIs" dxfId="48" priority="173" operator="equal">
      <formula>"Moderate"</formula>
    </cfRule>
  </conditionalFormatting>
  <conditionalFormatting sqref="AI36:AM39">
    <cfRule type="cellIs" dxfId="47" priority="38" operator="equal">
      <formula>"Moderate"</formula>
    </cfRule>
    <cfRule type="cellIs" dxfId="46" priority="37" operator="equal">
      <formula>"Aggressive"</formula>
    </cfRule>
    <cfRule type="cellIs" dxfId="45" priority="39" operator="equal">
      <formula>"Conservative"</formula>
    </cfRule>
  </conditionalFormatting>
  <conditionalFormatting sqref="AI44:AM55">
    <cfRule type="cellIs" dxfId="44" priority="36" operator="equal">
      <formula>"Conservative"</formula>
    </cfRule>
    <cfRule type="cellIs" dxfId="43" priority="35" operator="equal">
      <formula>"Moderate"</formula>
    </cfRule>
    <cfRule type="cellIs" dxfId="42" priority="34" operator="equal">
      <formula>"Aggressive"</formula>
    </cfRule>
  </conditionalFormatting>
  <conditionalFormatting sqref="AI57:AM59">
    <cfRule type="cellIs" dxfId="41" priority="32" operator="equal">
      <formula>"Moderate"</formula>
    </cfRule>
    <cfRule type="cellIs" dxfId="40" priority="33" operator="equal">
      <formula>"Conservative"</formula>
    </cfRule>
    <cfRule type="cellIs" dxfId="39" priority="31" operator="equal">
      <formula>"Aggressive"</formula>
    </cfRule>
  </conditionalFormatting>
  <conditionalFormatting sqref="AI80:AM80">
    <cfRule type="cellIs" dxfId="38" priority="165" operator="equal">
      <formula>"Moderate"</formula>
    </cfRule>
    <cfRule type="cellIs" dxfId="37" priority="164" operator="equal">
      <formula>"Aggressive"</formula>
    </cfRule>
    <cfRule type="cellIs" dxfId="36" priority="163" operator="equal">
      <formula>"Conservative"</formula>
    </cfRule>
  </conditionalFormatting>
  <conditionalFormatting sqref="AI82:AM95">
    <cfRule type="cellIs" dxfId="35" priority="88" operator="equal">
      <formula>"Conservative"</formula>
    </cfRule>
    <cfRule type="cellIs" dxfId="34" priority="89" operator="equal">
      <formula>"Aggressive"</formula>
    </cfRule>
    <cfRule type="cellIs" dxfId="33" priority="90" operator="equal">
      <formula>"Moderate"</formula>
    </cfRule>
  </conditionalFormatting>
  <conditionalFormatting sqref="AI97:AM97">
    <cfRule type="cellIs" dxfId="32" priority="8" operator="equal">
      <formula>"Aggressive"</formula>
    </cfRule>
    <cfRule type="cellIs" dxfId="31" priority="9" operator="equal">
      <formula>"Moderate"</formula>
    </cfRule>
    <cfRule type="cellIs" dxfId="30" priority="7" operator="equal">
      <formula>"Conservative"</formula>
    </cfRule>
  </conditionalFormatting>
  <conditionalFormatting sqref="AI356:AM1048576">
    <cfRule type="cellIs" dxfId="29" priority="176" operator="equal">
      <formula>"Aggressive"</formula>
    </cfRule>
    <cfRule type="cellIs" dxfId="28" priority="177" operator="equal">
      <formula>"Moderate"</formula>
    </cfRule>
    <cfRule type="cellIs" dxfId="27" priority="175" operator="equal">
      <formula>"Conservative"</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AF5-9875-4AD2-9FDB-BB0366387515}">
  <dimension ref="B2:AC78"/>
  <sheetViews>
    <sheetView showGridLines="0" zoomScale="130" zoomScaleNormal="130" workbookViewId="0">
      <selection activeCell="Z84" sqref="Z84"/>
    </sheetView>
  </sheetViews>
  <sheetFormatPr defaultColWidth="8.85546875" defaultRowHeight="15" x14ac:dyDescent="0.25"/>
  <cols>
    <col min="1" max="1" width="2.85546875" customWidth="1"/>
    <col min="4" max="4" width="2.85546875" customWidth="1"/>
    <col min="5" max="5" width="11.7109375" bestFit="1" customWidth="1"/>
    <col min="6" max="7" width="18.42578125" bestFit="1" customWidth="1"/>
    <col min="8" max="8" width="19.42578125" bestFit="1" customWidth="1"/>
    <col min="9" max="9" width="26.28515625" bestFit="1" customWidth="1"/>
    <col min="10" max="10" width="12.42578125" customWidth="1"/>
    <col min="11" max="11" width="11" customWidth="1"/>
    <col min="12" max="12" width="13" customWidth="1"/>
    <col min="13" max="13" width="12.140625" customWidth="1"/>
    <col min="14" max="14" width="15.140625" customWidth="1"/>
    <col min="15" max="15" width="13.7109375" customWidth="1"/>
    <col min="17" max="17" width="11.42578125" customWidth="1"/>
    <col min="18" max="18" width="17.85546875" bestFit="1" customWidth="1"/>
    <col min="19" max="19" width="18.140625" customWidth="1"/>
    <col min="20" max="20" width="19.42578125" bestFit="1" customWidth="1"/>
    <col min="21" max="21" width="20.7109375" bestFit="1" customWidth="1"/>
    <col min="22" max="22" width="16.28515625" bestFit="1" customWidth="1"/>
    <col min="23" max="24" width="16.28515625" customWidth="1"/>
    <col min="25" max="25" width="12" bestFit="1" customWidth="1"/>
    <col min="26" max="26" width="16.42578125" customWidth="1"/>
    <col min="27" max="27" width="13.7109375" bestFit="1" customWidth="1"/>
    <col min="29" max="29" width="15.28515625" bestFit="1" customWidth="1"/>
  </cols>
  <sheetData>
    <row r="2" spans="2:29" x14ac:dyDescent="0.25">
      <c r="B2" s="117" t="s">
        <v>736</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row>
    <row r="3" spans="2:29" ht="15.75" thickBot="1" x14ac:dyDescent="0.3"/>
    <row r="4" spans="2:29" ht="15.75" thickBot="1" x14ac:dyDescent="0.3">
      <c r="E4" s="187" t="s">
        <v>72</v>
      </c>
      <c r="F4" s="188"/>
      <c r="G4" s="188"/>
      <c r="H4" s="188"/>
      <c r="I4" s="188"/>
      <c r="J4" s="188"/>
      <c r="K4" s="188"/>
      <c r="L4" s="188"/>
      <c r="M4" s="188"/>
      <c r="N4" s="188"/>
      <c r="O4" s="189"/>
      <c r="Q4" s="187" t="s">
        <v>73</v>
      </c>
      <c r="R4" s="188"/>
      <c r="S4" s="188"/>
      <c r="T4" s="188"/>
      <c r="U4" s="188"/>
      <c r="V4" s="188"/>
      <c r="W4" s="188"/>
      <c r="X4" s="188"/>
      <c r="Y4" s="188"/>
      <c r="Z4" s="188"/>
      <c r="AA4" s="189"/>
      <c r="AC4" s="62" t="s">
        <v>136</v>
      </c>
    </row>
    <row r="6" spans="2:29" ht="45" x14ac:dyDescent="0.25">
      <c r="B6" s="154" t="s">
        <v>826</v>
      </c>
      <c r="C6" s="154" t="s">
        <v>68</v>
      </c>
      <c r="D6" s="1"/>
      <c r="E6" s="154" t="s">
        <v>137</v>
      </c>
      <c r="F6" s="154" t="s">
        <v>69</v>
      </c>
      <c r="G6" s="154" t="s">
        <v>70</v>
      </c>
      <c r="H6" s="154" t="s">
        <v>74</v>
      </c>
      <c r="I6" s="154" t="s">
        <v>133</v>
      </c>
      <c r="J6" s="154" t="s">
        <v>128</v>
      </c>
      <c r="K6" s="154" t="s">
        <v>127</v>
      </c>
      <c r="L6" s="154" t="s">
        <v>129</v>
      </c>
      <c r="M6" s="154" t="s">
        <v>130</v>
      </c>
      <c r="N6" s="154" t="s">
        <v>131</v>
      </c>
      <c r="O6" s="154" t="s">
        <v>135</v>
      </c>
      <c r="Q6" s="154" t="s">
        <v>137</v>
      </c>
      <c r="R6" s="154" t="s">
        <v>69</v>
      </c>
      <c r="S6" s="154" t="s">
        <v>70</v>
      </c>
      <c r="T6" s="154" t="s">
        <v>74</v>
      </c>
      <c r="U6" s="154" t="s">
        <v>133</v>
      </c>
      <c r="V6" s="154" t="s">
        <v>128</v>
      </c>
      <c r="W6" s="154" t="s">
        <v>127</v>
      </c>
      <c r="X6" s="154" t="s">
        <v>129</v>
      </c>
      <c r="Y6" s="154" t="s">
        <v>130</v>
      </c>
      <c r="Z6" s="154" t="s">
        <v>131</v>
      </c>
      <c r="AA6" s="154" t="s">
        <v>135</v>
      </c>
      <c r="AB6" s="1"/>
      <c r="AC6" s="155" t="s">
        <v>132</v>
      </c>
    </row>
    <row r="7" spans="2:29" x14ac:dyDescent="0.25">
      <c r="B7" s="12">
        <v>1</v>
      </c>
      <c r="C7" s="12">
        <v>2026</v>
      </c>
      <c r="D7" s="1"/>
      <c r="E7" s="30">
        <f>IF(B7/ROUNDUP(Model!$C$101,0)&gt;=1,1,B7/ROUNDUP(Model!$C$101,0))</f>
        <v>0.33333333333333331</v>
      </c>
      <c r="F7" s="22">
        <f>IF(B7/ROUNDUP(Model!$C$101,0)&gt;1,0,1/ROUNDUP(Model!$C$101,0)*Model!$C$86*1000000000)</f>
        <v>15921568627.450977</v>
      </c>
      <c r="G7" s="22">
        <f>IF(B7/ROUNDUP(Model!$C$101,0)&gt;=1,Model!$C$92,B7/ROUNDUP(Model!$C$101,0)*Model!$C$92)*1000000</f>
        <v>2118764476.9601367</v>
      </c>
      <c r="H7" s="24">
        <f>(F7+G7)/POWER(1+Model!$C$94,(B7-1))</f>
        <v>18040333104.411114</v>
      </c>
      <c r="I7" s="39">
        <f>H7</f>
        <v>18040333104.411114</v>
      </c>
      <c r="J7" s="12">
        <f>ROUNDUP(B7/Model!$C$31,0)</f>
        <v>1</v>
      </c>
      <c r="K7" s="12" t="b">
        <f>IF(MOD(B7,Model!$C$62)=0,TRUE,FALSE)</f>
        <v>0</v>
      </c>
      <c r="L7" s="12">
        <v>1</v>
      </c>
      <c r="M7" s="18">
        <f>Model!$C$27*POWER(1+Model!$C$32,L7-1)</f>
        <v>1979</v>
      </c>
      <c r="N7" s="61">
        <f>M7*E7*Model!$C$34/1000000</f>
        <v>517.38562091503263</v>
      </c>
      <c r="O7" s="61">
        <f>N7/(I7/1000000000)</f>
        <v>28.679382909427797</v>
      </c>
      <c r="Q7" s="30">
        <f>IF(B7/ROUNDUP(Model!$J$101,0)&gt;=1,1,B7/ROUNDUP(Model!$J$101,0))</f>
        <v>8.3333333333333329E-2</v>
      </c>
      <c r="R7" s="22">
        <f>IF(B7/ROUNDUP(Model!$J$101,0)&gt;1,0,1/ROUNDUP(Model!$J$101,0)*Model!$J$86*1000000000)</f>
        <v>19833737378.888809</v>
      </c>
      <c r="S7" s="22">
        <f>IF(B7/ROUNDUP(Model!$J$101,0)&gt;=1,Model!$J$92,B7/ROUNDUP(Model!$J$101,0)*Model!$J$92)*1000000</f>
        <v>2741883995.2303734</v>
      </c>
      <c r="T7" s="24">
        <f>(R7+S7)/POWER(1+Model!$J$94,(B7-1))</f>
        <v>22575621374.119183</v>
      </c>
      <c r="U7" s="39">
        <f>T7</f>
        <v>22575621374.119183</v>
      </c>
      <c r="V7" s="12">
        <f>ROUNDUP(B7/Model!$J$30,0)</f>
        <v>1</v>
      </c>
      <c r="W7" s="12" t="b">
        <f>IF(MOD(B7,Model!$J$71)=0,TRUE,FALSE)</f>
        <v>0</v>
      </c>
      <c r="X7" s="12">
        <v>1</v>
      </c>
      <c r="Y7" s="18">
        <f>Model!$J$27*POWER(1+Model!$J$31,X7-1)</f>
        <v>1979</v>
      </c>
      <c r="Z7" s="61">
        <f>Y7*Q7*Model!$J$34/1000000</f>
        <v>129.34640522875816</v>
      </c>
      <c r="AA7" s="61">
        <f t="shared" ref="AA7:AA26" si="0">Z7/(U7/1000000000)</f>
        <v>5.7294726503980788</v>
      </c>
      <c r="AB7" s="1"/>
      <c r="AC7" s="30">
        <f t="shared" ref="AC7:AC26" si="1">(AA7-O7)/O7</f>
        <v>-0.80022329390795133</v>
      </c>
    </row>
    <row r="8" spans="2:29" x14ac:dyDescent="0.25">
      <c r="B8" s="12">
        <v>2</v>
      </c>
      <c r="C8" s="12">
        <v>2027</v>
      </c>
      <c r="D8" s="1"/>
      <c r="E8" s="30">
        <f>IF(B8/ROUNDUP(Model!$C$101,0)&gt;=1,1,B8/ROUNDUP(Model!$C$101,0))</f>
        <v>0.66666666666666663</v>
      </c>
      <c r="F8" s="22">
        <f>IF(B8/ROUNDUP(Model!$C$101,0)&gt;1,0,1/ROUNDUP(Model!$C$101,0)*Model!$C$86*1000000000)</f>
        <v>15921568627.450977</v>
      </c>
      <c r="G8" s="22">
        <f>IF(B8/ROUNDUP(Model!$C$101,0)&gt;=1,Model!$C$92,B8/ROUNDUP(Model!$C$101,0)*Model!$C$92)*1000000</f>
        <v>4237528953.9202733</v>
      </c>
      <c r="H8" s="24">
        <f>(F8+G8)/POWER(1+Model!$C$94,(B8-1))</f>
        <v>18326452346.701134</v>
      </c>
      <c r="I8" s="39">
        <f>H8+I7</f>
        <v>36366785451.112244</v>
      </c>
      <c r="J8" s="12">
        <f>ROUNDUP(B8/Model!$C$31,0)</f>
        <v>1</v>
      </c>
      <c r="K8" s="12" t="b">
        <f>IF(MOD(B8,Model!$C$62)=0,TRUE,FALSE)</f>
        <v>0</v>
      </c>
      <c r="L8" s="12">
        <f t="shared" ref="L8:L26" si="2">IF(K8,J8,L7)</f>
        <v>1</v>
      </c>
      <c r="M8" s="18">
        <f>Model!$C$27*POWER(1+Model!$C$32,L8-1)</f>
        <v>1979</v>
      </c>
      <c r="N8" s="61">
        <f>M8*E8*Model!$C$34/1000000</f>
        <v>1034.7712418300653</v>
      </c>
      <c r="O8" s="61">
        <f t="shared" ref="O8:O26" si="3">N8/(I8/1000000000)</f>
        <v>28.453745058691126</v>
      </c>
      <c r="Q8" s="30">
        <f>IF(B8/ROUNDUP(Model!$J$101,0)&gt;=1,1,B8/ROUNDUP(Model!$J$101,0))</f>
        <v>0.16666666666666666</v>
      </c>
      <c r="R8" s="22">
        <f>IF(B8/ROUNDUP(Model!$J$101,0)&gt;1,0,1/ROUNDUP(Model!$J$101,0)*Model!$J$86*1000000000)</f>
        <v>19833737378.888809</v>
      </c>
      <c r="S8" s="22">
        <f>IF(B8/ROUNDUP(Model!$J$101,0)&gt;=1,Model!$J$92,B8/ROUNDUP(Model!$J$101,0)*Model!$J$92)*1000000</f>
        <v>5483767990.4607468</v>
      </c>
      <c r="T8" s="24">
        <f>(R8+S8)/POWER(1+Model!$J$94,(B8-1))</f>
        <v>23015913972.13596</v>
      </c>
      <c r="U8" s="39">
        <f>T8+U7</f>
        <v>45591535346.255142</v>
      </c>
      <c r="V8" s="12">
        <f>ROUNDUP(B8/Model!$J$30,0)</f>
        <v>1</v>
      </c>
      <c r="W8" s="12" t="b">
        <f>IF(MOD(B8,Model!$J$71)=0,TRUE,FALSE)</f>
        <v>0</v>
      </c>
      <c r="X8" s="12">
        <f t="shared" ref="X8:X26" si="4">IF(W8,V8,X7)</f>
        <v>1</v>
      </c>
      <c r="Y8" s="18">
        <f>Model!$J$27*POWER(1+Model!$J$31,X8-1)</f>
        <v>1979</v>
      </c>
      <c r="Z8" s="61">
        <f>Y8*Q8*Model!$J$34/1000000</f>
        <v>258.69281045751632</v>
      </c>
      <c r="AA8" s="61">
        <f t="shared" si="0"/>
        <v>5.6741412302265264</v>
      </c>
      <c r="AB8" s="1"/>
      <c r="AC8" s="30">
        <f t="shared" si="1"/>
        <v>-0.80058367647132023</v>
      </c>
    </row>
    <row r="9" spans="2:29" x14ac:dyDescent="0.25">
      <c r="B9" s="12">
        <v>3</v>
      </c>
      <c r="C9" s="12">
        <v>2028</v>
      </c>
      <c r="D9" s="1"/>
      <c r="E9" s="30">
        <f>IF(B9/ROUNDUP(Model!$C$101,0)&gt;=1,1,B9/ROUNDUP(Model!$C$101,0))</f>
        <v>1</v>
      </c>
      <c r="F9" s="22">
        <f>IF(B9/ROUNDUP(Model!$C$101,0)&gt;1,0,1/ROUNDUP(Model!$C$101,0)*Model!$C$86*1000000000)</f>
        <v>15921568627.450977</v>
      </c>
      <c r="G9" s="22">
        <f>IF(B9/ROUNDUP(Model!$C$101,0)&gt;=1,Model!$C$92,B9/ROUNDUP(Model!$C$101,0)*Model!$C$92)*1000000</f>
        <v>6356293430.8804092</v>
      </c>
      <c r="H9" s="24">
        <f>(F9+G9)/POWER(1+Model!$C$94,(B9-1))</f>
        <v>18411456246.554863</v>
      </c>
      <c r="I9" s="39">
        <f t="shared" ref="I9:I26" si="5">H9+I8</f>
        <v>54778241697.667107</v>
      </c>
      <c r="J9" s="12">
        <f>ROUNDUP(B9/Model!$C$31,0)</f>
        <v>2</v>
      </c>
      <c r="K9" s="12" t="b">
        <f>IF(MOD(B9,Model!$C$62)=0,TRUE,FALSE)</f>
        <v>0</v>
      </c>
      <c r="L9" s="12">
        <f t="shared" si="2"/>
        <v>1</v>
      </c>
      <c r="M9" s="18">
        <f>Model!$C$27*POWER(1+Model!$C$32,L9-1)</f>
        <v>1979</v>
      </c>
      <c r="N9" s="61">
        <f>M9*E9*Model!$C$34/1000000</f>
        <v>1552.1568627450979</v>
      </c>
      <c r="O9" s="61">
        <f t="shared" si="3"/>
        <v>28.335280845847251</v>
      </c>
      <c r="Q9" s="30">
        <f>IF(B9/ROUNDUP(Model!$J$101,0)&gt;=1,1,B9/ROUNDUP(Model!$J$101,0))</f>
        <v>0.25</v>
      </c>
      <c r="R9" s="22">
        <f>IF(B9/ROUNDUP(Model!$J$101,0)&gt;1,0,1/ROUNDUP(Model!$J$101,0)*Model!$J$86*1000000000)</f>
        <v>19833737378.888809</v>
      </c>
      <c r="S9" s="22">
        <f>IF(B9/ROUNDUP(Model!$J$101,0)&gt;=1,Model!$J$92,B9/ROUNDUP(Model!$J$101,0)*Model!$J$92)*1000000</f>
        <v>8225651985.6911201</v>
      </c>
      <c r="T9" s="24">
        <f>(R9+S9)/POWER(1+Model!$J$94,(B9-1))</f>
        <v>23189577987.256138</v>
      </c>
      <c r="U9" s="39">
        <f t="shared" ref="U9:U26" si="6">T9+U8</f>
        <v>68781113333.511276</v>
      </c>
      <c r="V9" s="12">
        <f>ROUNDUP(B9/Model!$J$30,0)</f>
        <v>2</v>
      </c>
      <c r="W9" s="12" t="b">
        <f>IF(MOD(B9,Model!$J$71)=0,TRUE,FALSE)</f>
        <v>0</v>
      </c>
      <c r="X9" s="12">
        <f t="shared" si="4"/>
        <v>1</v>
      </c>
      <c r="Y9" s="18">
        <f>Model!$J$27*POWER(1+Model!$J$31,X9-1)</f>
        <v>1979</v>
      </c>
      <c r="Z9" s="61">
        <f>Y9*Q9*Model!$J$34/1000000</f>
        <v>388.03921568627447</v>
      </c>
      <c r="AA9" s="61">
        <f t="shared" si="0"/>
        <v>5.6416536005272171</v>
      </c>
      <c r="AB9" s="1"/>
      <c r="AC9" s="30">
        <f t="shared" si="1"/>
        <v>-0.80089649962463516</v>
      </c>
    </row>
    <row r="10" spans="2:29" x14ac:dyDescent="0.25">
      <c r="B10" s="12">
        <v>4</v>
      </c>
      <c r="C10" s="12">
        <v>2029</v>
      </c>
      <c r="D10" s="1"/>
      <c r="E10" s="30">
        <f>IF(B10/ROUNDUP(Model!$C$101,0)&gt;=1,1,B10/ROUNDUP(Model!$C$101,0))</f>
        <v>1</v>
      </c>
      <c r="F10" s="22">
        <f>IF(B10/ROUNDUP(Model!$C$101,0)&gt;1,0,1/ROUNDUP(Model!$C$101,0)*Model!$C$86*1000000000)</f>
        <v>0</v>
      </c>
      <c r="G10" s="22">
        <f>IF(B10/ROUNDUP(Model!$C$101,0)&gt;=1,Model!$C$92,B10/ROUNDUP(Model!$C$101,0)*Model!$C$92)*1000000</f>
        <v>6356293430.8804092</v>
      </c>
      <c r="H10" s="24">
        <f>(F10+G10)/POWER(1+Model!$C$94,(B10-1))</f>
        <v>4775577333.4939194</v>
      </c>
      <c r="I10" s="39">
        <f t="shared" si="5"/>
        <v>59553819031.161026</v>
      </c>
      <c r="J10" s="12">
        <f>ROUNDUP(B10/Model!$C$31,0)</f>
        <v>2</v>
      </c>
      <c r="K10" s="12" t="b">
        <f>IF(MOD(B10,Model!$C$62)=0,TRUE,FALSE)</f>
        <v>0</v>
      </c>
      <c r="L10" s="12">
        <f t="shared" si="2"/>
        <v>1</v>
      </c>
      <c r="M10" s="18">
        <f>Model!$C$27*POWER(1+Model!$C$32,L10-1)</f>
        <v>1979</v>
      </c>
      <c r="N10" s="61">
        <f>M10*E10*Model!$C$34/1000000</f>
        <v>1552.1568627450979</v>
      </c>
      <c r="O10" s="61">
        <f t="shared" si="3"/>
        <v>26.063095331181785</v>
      </c>
      <c r="Q10" s="30">
        <f>IF(B10/ROUNDUP(Model!$J$101,0)&gt;=1,1,B10/ROUNDUP(Model!$J$101,0))</f>
        <v>0.33333333333333331</v>
      </c>
      <c r="R10" s="22">
        <f>IF(B10/ROUNDUP(Model!$J$101,0)&gt;1,0,1/ROUNDUP(Model!$J$101,0)*Model!$J$86*1000000000)</f>
        <v>19833737378.888809</v>
      </c>
      <c r="S10" s="22">
        <f>IF(B10/ROUNDUP(Model!$J$101,0)&gt;=1,Model!$J$92,B10/ROUNDUP(Model!$J$101,0)*Model!$J$92)*1000000</f>
        <v>10967535980.921494</v>
      </c>
      <c r="T10" s="24">
        <f>(R10+S10)/POWER(1+Model!$J$94,(B10-1))</f>
        <v>23141452561.840942</v>
      </c>
      <c r="U10" s="39">
        <f t="shared" si="6"/>
        <v>91922565895.352219</v>
      </c>
      <c r="V10" s="12">
        <f>ROUNDUP(B10/Model!$J$30,0)</f>
        <v>2</v>
      </c>
      <c r="W10" s="12" t="b">
        <f>IF(MOD(B10,Model!$J$71)=0,TRUE,FALSE)</f>
        <v>0</v>
      </c>
      <c r="X10" s="12">
        <f t="shared" si="4"/>
        <v>1</v>
      </c>
      <c r="Y10" s="18">
        <f>Model!$J$27*POWER(1+Model!$J$31,X10-1)</f>
        <v>1979</v>
      </c>
      <c r="Z10" s="61">
        <f>Y10*Q10*Model!$J$34/1000000</f>
        <v>517.38562091503263</v>
      </c>
      <c r="AA10" s="61">
        <f t="shared" si="0"/>
        <v>5.6284941121426266</v>
      </c>
      <c r="AB10" s="1"/>
      <c r="AC10" s="30">
        <f t="shared" si="1"/>
        <v>-0.78404352819103884</v>
      </c>
    </row>
    <row r="11" spans="2:29" x14ac:dyDescent="0.25">
      <c r="B11" s="12">
        <v>5</v>
      </c>
      <c r="C11" s="12">
        <v>2030</v>
      </c>
      <c r="D11" s="1"/>
      <c r="E11" s="30">
        <f>IF(B11/ROUNDUP(Model!$C$101,0)&gt;=1,1,B11/ROUNDUP(Model!$C$101,0))</f>
        <v>1</v>
      </c>
      <c r="F11" s="22">
        <f>IF(B11/ROUNDUP(Model!$C$101,0)&gt;1,0,1/ROUNDUP(Model!$C$101,0)*Model!$C$86*1000000000)</f>
        <v>0</v>
      </c>
      <c r="G11" s="22">
        <f>IF(B11/ROUNDUP(Model!$C$101,0)&gt;=1,Model!$C$92,B11/ROUNDUP(Model!$C$101,0)*Model!$C$92)*1000000</f>
        <v>6356293430.8804092</v>
      </c>
      <c r="H11" s="24">
        <f>(F11+G11)/POWER(1+Model!$C$94,(B11-1))</f>
        <v>4341433939.5399275</v>
      </c>
      <c r="I11" s="39">
        <f t="shared" si="5"/>
        <v>63895252970.700951</v>
      </c>
      <c r="J11" s="12">
        <f>ROUNDUP(B11/Model!$C$31,0)</f>
        <v>3</v>
      </c>
      <c r="K11" s="12" t="b">
        <f>IF(MOD(B11,Model!$C$62)=0,TRUE,FALSE)</f>
        <v>1</v>
      </c>
      <c r="L11" s="12">
        <f t="shared" si="2"/>
        <v>3</v>
      </c>
      <c r="M11" s="18">
        <f>Model!$C$27*POWER(1+Model!$C$32,L11-1)</f>
        <v>4452.75</v>
      </c>
      <c r="N11" s="61">
        <f>M11*E11*Model!$C$34/1000000</f>
        <v>3492.3529411764703</v>
      </c>
      <c r="O11" s="61">
        <f t="shared" si="3"/>
        <v>54.657471076574062</v>
      </c>
      <c r="Q11" s="30">
        <f>IF(B11/ROUNDUP(Model!$J$101,0)&gt;=1,1,B11/ROUNDUP(Model!$J$101,0))</f>
        <v>0.41666666666666669</v>
      </c>
      <c r="R11" s="22">
        <f>IF(B11/ROUNDUP(Model!$J$101,0)&gt;1,0,1/ROUNDUP(Model!$J$101,0)*Model!$J$86*1000000000)</f>
        <v>19833737378.888809</v>
      </c>
      <c r="S11" s="22">
        <f>IF(B11/ROUNDUP(Model!$J$101,0)&gt;=1,Model!$J$92,B11/ROUNDUP(Model!$J$101,0)*Model!$J$92)*1000000</f>
        <v>13709419976.151867</v>
      </c>
      <c r="T11" s="24">
        <f>(R11+S11)/POWER(1+Model!$J$94,(B11-1))</f>
        <v>22910427808.920612</v>
      </c>
      <c r="U11" s="39">
        <f t="shared" si="6"/>
        <v>114832993704.27283</v>
      </c>
      <c r="V11" s="12">
        <f>ROUNDUP(B11/Model!$J$30,0)</f>
        <v>3</v>
      </c>
      <c r="W11" s="12" t="b">
        <f>IF(MOD(B11,Model!$J$71)=0,TRUE,FALSE)</f>
        <v>1</v>
      </c>
      <c r="X11" s="12">
        <f t="shared" si="4"/>
        <v>3</v>
      </c>
      <c r="Y11" s="18">
        <f>Model!$J$27*POWER(1+Model!$J$31,X11-1)</f>
        <v>4452.75</v>
      </c>
      <c r="Z11" s="61">
        <f>Y11*Q11*Model!$J$34/1000000</f>
        <v>1455.1470588235293</v>
      </c>
      <c r="AA11" s="61">
        <f t="shared" si="0"/>
        <v>12.671855116578614</v>
      </c>
      <c r="AB11" s="1"/>
      <c r="AC11" s="30">
        <f t="shared" si="1"/>
        <v>-0.76815877377814301</v>
      </c>
    </row>
    <row r="12" spans="2:29" x14ac:dyDescent="0.25">
      <c r="B12" s="12">
        <v>6</v>
      </c>
      <c r="C12" s="12">
        <v>2031</v>
      </c>
      <c r="D12" s="1"/>
      <c r="E12" s="30">
        <f>IF(B12/ROUNDUP(Model!$C$101,0)&gt;=1,1,B12/ROUNDUP(Model!$C$101,0))</f>
        <v>1</v>
      </c>
      <c r="F12" s="22">
        <f>IF(B12/ROUNDUP(Model!$C$101,0)&gt;1,0,1/ROUNDUP(Model!$C$101,0)*Model!$C$86*1000000000)</f>
        <v>0</v>
      </c>
      <c r="G12" s="22">
        <f>IF(B12/ROUNDUP(Model!$C$101,0)&gt;=1,Model!$C$92,B12/ROUNDUP(Model!$C$101,0)*Model!$C$92)*1000000</f>
        <v>6356293430.8804092</v>
      </c>
      <c r="H12" s="24">
        <f>(F12+G12)/POWER(1+Model!$C$94,(B12-1))</f>
        <v>3946758126.8544788</v>
      </c>
      <c r="I12" s="39">
        <f t="shared" si="5"/>
        <v>67842011097.555428</v>
      </c>
      <c r="J12" s="12">
        <f>ROUNDUP(B12/Model!$C$31,0)</f>
        <v>3</v>
      </c>
      <c r="K12" s="12" t="b">
        <f>IF(MOD(B12,Model!$C$62)=0,TRUE,FALSE)</f>
        <v>0</v>
      </c>
      <c r="L12" s="12">
        <f t="shared" si="2"/>
        <v>3</v>
      </c>
      <c r="M12" s="18">
        <f>Model!$C$27*POWER(1+Model!$C$32,L12-1)</f>
        <v>4452.75</v>
      </c>
      <c r="N12" s="61">
        <f>M12*E12*Model!$C$34/1000000</f>
        <v>3492.3529411764703</v>
      </c>
      <c r="O12" s="61">
        <f t="shared" si="3"/>
        <v>51.477733113697617</v>
      </c>
      <c r="Q12" s="30">
        <f>IF(B12/ROUNDUP(Model!$J$101,0)&gt;=1,1,B12/ROUNDUP(Model!$J$101,0))</f>
        <v>0.5</v>
      </c>
      <c r="R12" s="22">
        <f>IF(B12/ROUNDUP(Model!$J$101,0)&gt;1,0,1/ROUNDUP(Model!$J$101,0)*Model!$J$86*1000000000)</f>
        <v>19833737378.888809</v>
      </c>
      <c r="S12" s="22">
        <f>IF(B12/ROUNDUP(Model!$J$101,0)&gt;=1,Model!$J$92,B12/ROUNDUP(Model!$J$101,0)*Model!$J$92)*1000000</f>
        <v>16451303971.38224</v>
      </c>
      <c r="T12" s="24">
        <f>(R12+S12)/POWER(1+Model!$J$94,(B12-1))</f>
        <v>22530155882.466446</v>
      </c>
      <c r="U12" s="39">
        <f t="shared" si="6"/>
        <v>137363149586.73927</v>
      </c>
      <c r="V12" s="12">
        <f>ROUNDUP(B12/Model!$J$30,0)</f>
        <v>3</v>
      </c>
      <c r="W12" s="12" t="b">
        <f>IF(MOD(B12,Model!$J$71)=0,TRUE,FALSE)</f>
        <v>0</v>
      </c>
      <c r="X12" s="12">
        <f t="shared" si="4"/>
        <v>3</v>
      </c>
      <c r="Y12" s="18">
        <f>Model!$J$27*POWER(1+Model!$J$31,X12-1)</f>
        <v>4452.75</v>
      </c>
      <c r="Z12" s="61">
        <f>Y12*Q12*Model!$J$34/1000000</f>
        <v>1746.1764705882351</v>
      </c>
      <c r="AA12" s="61">
        <f t="shared" si="0"/>
        <v>12.712117302505469</v>
      </c>
      <c r="AB12" s="1"/>
      <c r="AC12" s="30">
        <f t="shared" si="1"/>
        <v>-0.75305600045696408</v>
      </c>
    </row>
    <row r="13" spans="2:29" x14ac:dyDescent="0.25">
      <c r="B13" s="12">
        <v>7</v>
      </c>
      <c r="C13" s="12">
        <v>2032</v>
      </c>
      <c r="D13" s="1"/>
      <c r="E13" s="30">
        <f>IF(B13/ROUNDUP(Model!$C$101,0)&gt;=1,1,B13/ROUNDUP(Model!$C$101,0))</f>
        <v>1</v>
      </c>
      <c r="F13" s="22">
        <f>IF(B13/ROUNDUP(Model!$C$101,0)&gt;1,0,1/ROUNDUP(Model!$C$101,0)*Model!$C$86*1000000000)</f>
        <v>0</v>
      </c>
      <c r="G13" s="22">
        <f>IF(B13/ROUNDUP(Model!$C$101,0)&gt;=1,Model!$C$92,B13/ROUNDUP(Model!$C$101,0)*Model!$C$92)*1000000</f>
        <v>6356293430.8804092</v>
      </c>
      <c r="H13" s="24">
        <f>(F13+G13)/POWER(1+Model!$C$94,(B13-1))</f>
        <v>3587961933.5040712</v>
      </c>
      <c r="I13" s="39">
        <f t="shared" si="5"/>
        <v>71429973031.059494</v>
      </c>
      <c r="J13" s="12">
        <f>ROUNDUP(B13/Model!$C$31,0)</f>
        <v>4</v>
      </c>
      <c r="K13" s="12" t="b">
        <f>IF(MOD(B13,Model!$C$62)=0,TRUE,FALSE)</f>
        <v>0</v>
      </c>
      <c r="L13" s="12">
        <f t="shared" si="2"/>
        <v>3</v>
      </c>
      <c r="M13" s="18">
        <f>Model!$C$27*POWER(1+Model!$C$32,L13-1)</f>
        <v>4452.75</v>
      </c>
      <c r="N13" s="61">
        <f>M13*E13*Model!$C$34/1000000</f>
        <v>3492.3529411764703</v>
      </c>
      <c r="O13" s="61">
        <f t="shared" si="3"/>
        <v>48.891981796743927</v>
      </c>
      <c r="Q13" s="30">
        <f>IF(B13/ROUNDUP(Model!$J$101,0)&gt;=1,1,B13/ROUNDUP(Model!$J$101,0))</f>
        <v>0.58333333333333337</v>
      </c>
      <c r="R13" s="22">
        <f>IF(B13/ROUNDUP(Model!$J$101,0)&gt;1,0,1/ROUNDUP(Model!$J$101,0)*Model!$J$86*1000000000)</f>
        <v>19833737378.888809</v>
      </c>
      <c r="S13" s="22">
        <f>IF(B13/ROUNDUP(Model!$J$101,0)&gt;=1,Model!$J$92,B13/ROUNDUP(Model!$J$101,0)*Model!$J$92)*1000000</f>
        <v>19193187966.612614</v>
      </c>
      <c r="T13" s="24">
        <f>(R13+S13)/POWER(1+Model!$J$94,(B13-1))</f>
        <v>22029681927.690552</v>
      </c>
      <c r="U13" s="39">
        <f t="shared" si="6"/>
        <v>159392831514.42981</v>
      </c>
      <c r="V13" s="12">
        <f>ROUNDUP(B13/Model!$J$30,0)</f>
        <v>4</v>
      </c>
      <c r="W13" s="12" t="b">
        <f>IF(MOD(B13,Model!$J$71)=0,TRUE,FALSE)</f>
        <v>0</v>
      </c>
      <c r="X13" s="12">
        <f t="shared" si="4"/>
        <v>3</v>
      </c>
      <c r="Y13" s="18">
        <f>Model!$J$27*POWER(1+Model!$J$31,X13-1)</f>
        <v>4452.75</v>
      </c>
      <c r="Z13" s="61">
        <f>Y13*Q13*Model!$J$34/1000000</f>
        <v>2037.205882352941</v>
      </c>
      <c r="AA13" s="61">
        <f t="shared" si="0"/>
        <v>12.781038287587688</v>
      </c>
      <c r="AB13" s="1"/>
      <c r="AC13" s="30">
        <f t="shared" si="1"/>
        <v>-0.73858620947864984</v>
      </c>
    </row>
    <row r="14" spans="2:29" x14ac:dyDescent="0.25">
      <c r="B14" s="12">
        <v>8</v>
      </c>
      <c r="C14" s="12">
        <v>2033</v>
      </c>
      <c r="D14" s="1"/>
      <c r="E14" s="30">
        <f>IF(B14/ROUNDUP(Model!$C$101,0)&gt;=1,1,B14/ROUNDUP(Model!$C$101,0))</f>
        <v>1</v>
      </c>
      <c r="F14" s="22">
        <f>IF(B14/ROUNDUP(Model!$C$101,0)&gt;1,0,1/ROUNDUP(Model!$C$101,0)*Model!$C$86*1000000000)</f>
        <v>0</v>
      </c>
      <c r="G14" s="22">
        <f>IF(B14/ROUNDUP(Model!$C$101,0)&gt;=1,Model!$C$92,B14/ROUNDUP(Model!$C$101,0)*Model!$C$92)*1000000</f>
        <v>6356293430.8804092</v>
      </c>
      <c r="H14" s="24">
        <f>(F14+G14)/POWER(1+Model!$C$94,(B14-1))</f>
        <v>3261783575.9127917</v>
      </c>
      <c r="I14" s="39">
        <f t="shared" si="5"/>
        <v>74691756606.97229</v>
      </c>
      <c r="J14" s="12">
        <f>ROUNDUP(B14/Model!$C$31,0)</f>
        <v>4</v>
      </c>
      <c r="K14" s="12" t="b">
        <f>IF(MOD(B14,Model!$C$62)=0,TRUE,FALSE)</f>
        <v>0</v>
      </c>
      <c r="L14" s="12">
        <f t="shared" si="2"/>
        <v>3</v>
      </c>
      <c r="M14" s="18">
        <f>Model!$C$27*POWER(1+Model!$C$32,L14-1)</f>
        <v>4452.75</v>
      </c>
      <c r="N14" s="61">
        <f>M14*E14*Model!$C$34/1000000</f>
        <v>3492.3529411764703</v>
      </c>
      <c r="O14" s="61">
        <f t="shared" si="3"/>
        <v>46.756872509415153</v>
      </c>
      <c r="Q14" s="30">
        <f>IF(B14/ROUNDUP(Model!$J$101,0)&gt;=1,1,B14/ROUNDUP(Model!$J$101,0))</f>
        <v>0.66666666666666663</v>
      </c>
      <c r="R14" s="22">
        <f>IF(B14/ROUNDUP(Model!$J$101,0)&gt;1,0,1/ROUNDUP(Model!$J$101,0)*Model!$J$86*1000000000)</f>
        <v>19833737378.888809</v>
      </c>
      <c r="S14" s="22">
        <f>IF(B14/ROUNDUP(Model!$J$101,0)&gt;=1,Model!$J$92,B14/ROUNDUP(Model!$J$101,0)*Model!$J$92)*1000000</f>
        <v>21935071961.842987</v>
      </c>
      <c r="T14" s="24">
        <f>(R14+S14)/POWER(1+Model!$J$94,(B14-1))</f>
        <v>21434003602.027084</v>
      </c>
      <c r="U14" s="39">
        <f t="shared" si="6"/>
        <v>180826835116.45691</v>
      </c>
      <c r="V14" s="12">
        <f>ROUNDUP(B14/Model!$J$30,0)</f>
        <v>4</v>
      </c>
      <c r="W14" s="12" t="b">
        <f>IF(MOD(B14,Model!$J$71)=0,TRUE,FALSE)</f>
        <v>0</v>
      </c>
      <c r="X14" s="12">
        <f t="shared" si="4"/>
        <v>3</v>
      </c>
      <c r="Y14" s="18">
        <f>Model!$J$27*POWER(1+Model!$J$31,X14-1)</f>
        <v>4452.75</v>
      </c>
      <c r="Z14" s="61">
        <f>Y14*Q14*Model!$J$34/1000000</f>
        <v>2328.2352941176468</v>
      </c>
      <c r="AA14" s="61">
        <f t="shared" si="0"/>
        <v>12.875496563428797</v>
      </c>
      <c r="AB14" s="1"/>
      <c r="AC14" s="30">
        <f t="shared" si="1"/>
        <v>-0.72462878989957824</v>
      </c>
    </row>
    <row r="15" spans="2:29" x14ac:dyDescent="0.25">
      <c r="B15" s="12">
        <v>9</v>
      </c>
      <c r="C15" s="12">
        <v>2034</v>
      </c>
      <c r="D15" s="1"/>
      <c r="E15" s="30">
        <f>IF(B15/ROUNDUP(Model!$C$101,0)&gt;=1,1,B15/ROUNDUP(Model!$C$101,0))</f>
        <v>1</v>
      </c>
      <c r="F15" s="22">
        <f>IF(B15/ROUNDUP(Model!$C$101,0)&gt;1,0,1/ROUNDUP(Model!$C$101,0)*Model!$C$86*1000000000)</f>
        <v>0</v>
      </c>
      <c r="G15" s="22">
        <f>IF(B15/ROUNDUP(Model!$C$101,0)&gt;=1,Model!$C$92,B15/ROUNDUP(Model!$C$101,0)*Model!$C$92)*1000000</f>
        <v>6356293430.8804092</v>
      </c>
      <c r="H15" s="24">
        <f>(F15+G15)/POWER(1+Model!$C$94,(B15-1))</f>
        <v>2965257796.2843566</v>
      </c>
      <c r="I15" s="39">
        <f t="shared" si="5"/>
        <v>77657014403.256653</v>
      </c>
      <c r="J15" s="12">
        <f>ROUNDUP(B15/Model!$C$31,0)</f>
        <v>5</v>
      </c>
      <c r="K15" s="12" t="b">
        <f>IF(MOD(B15,Model!$C$62)=0,TRUE,FALSE)</f>
        <v>0</v>
      </c>
      <c r="L15" s="12">
        <f t="shared" si="2"/>
        <v>3</v>
      </c>
      <c r="M15" s="18">
        <f>Model!$C$27*POWER(1+Model!$C$32,L15-1)</f>
        <v>4452.75</v>
      </c>
      <c r="N15" s="61">
        <f>M15*E15*Model!$C$34/1000000</f>
        <v>3492.3529411764703</v>
      </c>
      <c r="O15" s="61">
        <f t="shared" si="3"/>
        <v>44.971506669589573</v>
      </c>
      <c r="Q15" s="30">
        <f>IF(B15/ROUNDUP(Model!$J$101,0)&gt;=1,1,B15/ROUNDUP(Model!$J$101,0))</f>
        <v>0.75</v>
      </c>
      <c r="R15" s="22">
        <f>IF(B15/ROUNDUP(Model!$J$101,0)&gt;1,0,1/ROUNDUP(Model!$J$101,0)*Model!$J$86*1000000000)</f>
        <v>19833737378.888809</v>
      </c>
      <c r="S15" s="22">
        <f>IF(B15/ROUNDUP(Model!$J$101,0)&gt;=1,Model!$J$92,B15/ROUNDUP(Model!$J$101,0)*Model!$J$92)*1000000</f>
        <v>24676955957.07336</v>
      </c>
      <c r="T15" s="24">
        <f>(R15+S15)/POWER(1+Model!$J$94,(B15-1))</f>
        <v>20764566939.478542</v>
      </c>
      <c r="U15" s="39">
        <f t="shared" si="6"/>
        <v>201591402055.93546</v>
      </c>
      <c r="V15" s="12">
        <f>ROUNDUP(B15/Model!$J$30,0)</f>
        <v>5</v>
      </c>
      <c r="W15" s="12" t="b">
        <f>IF(MOD(B15,Model!$J$71)=0,TRUE,FALSE)</f>
        <v>0</v>
      </c>
      <c r="X15" s="12">
        <f t="shared" si="4"/>
        <v>3</v>
      </c>
      <c r="Y15" s="18">
        <f>Model!$J$27*POWER(1+Model!$J$31,X15-1)</f>
        <v>4452.75</v>
      </c>
      <c r="Z15" s="61">
        <f>Y15*Q15*Model!$J$34/1000000</f>
        <v>2619.2647058823527</v>
      </c>
      <c r="AA15" s="61">
        <f t="shared" si="0"/>
        <v>12.992938583539326</v>
      </c>
      <c r="AB15" s="1"/>
      <c r="AC15" s="30">
        <f t="shared" si="1"/>
        <v>-0.71108509485795468</v>
      </c>
    </row>
    <row r="16" spans="2:29" x14ac:dyDescent="0.25">
      <c r="B16" s="12">
        <v>10</v>
      </c>
      <c r="C16" s="12">
        <v>2035</v>
      </c>
      <c r="D16" s="1"/>
      <c r="E16" s="30">
        <f>IF(B16/ROUNDUP(Model!$C$101,0)&gt;=1,1,B16/ROUNDUP(Model!$C$101,0))</f>
        <v>1</v>
      </c>
      <c r="F16" s="22">
        <f>IF(B16/ROUNDUP(Model!$C$101,0)&gt;1,0,1/ROUNDUP(Model!$C$101,0)*Model!$C$86*1000000000)</f>
        <v>0</v>
      </c>
      <c r="G16" s="22">
        <f>IF(B16/ROUNDUP(Model!$C$101,0)&gt;=1,Model!$C$92,B16/ROUNDUP(Model!$C$101,0)*Model!$C$92)*1000000</f>
        <v>6356293430.8804092</v>
      </c>
      <c r="H16" s="24">
        <f>(F16+G16)/POWER(1+Model!$C$94,(B16-1))</f>
        <v>2695688905.7130508</v>
      </c>
      <c r="I16" s="39">
        <f t="shared" si="5"/>
        <v>80352703308.969696</v>
      </c>
      <c r="J16" s="12">
        <f>ROUNDUP(B16/Model!$C$31,0)</f>
        <v>5</v>
      </c>
      <c r="K16" s="12" t="b">
        <f>IF(MOD(B16,Model!$C$62)=0,TRUE,FALSE)</f>
        <v>1</v>
      </c>
      <c r="L16" s="12">
        <f t="shared" si="2"/>
        <v>5</v>
      </c>
      <c r="M16" s="18">
        <f>Model!$C$27*POWER(1+Model!$C$32,L16-1)</f>
        <v>10018.6875</v>
      </c>
      <c r="N16" s="61">
        <f>M16*E16*Model!$C$34/1000000</f>
        <v>7857.7941176470586</v>
      </c>
      <c r="O16" s="61">
        <f t="shared" si="3"/>
        <v>97.791285097559381</v>
      </c>
      <c r="Q16" s="30">
        <f>IF(B16/ROUNDUP(Model!$J$101,0)&gt;=1,1,B16/ROUNDUP(Model!$J$101,0))</f>
        <v>0.83333333333333337</v>
      </c>
      <c r="R16" s="22">
        <f>IF(B16/ROUNDUP(Model!$J$101,0)&gt;1,0,1/ROUNDUP(Model!$J$101,0)*Model!$J$86*1000000000)</f>
        <v>19833737378.888809</v>
      </c>
      <c r="S16" s="22">
        <f>IF(B16/ROUNDUP(Model!$J$101,0)&gt;=1,Model!$J$92,B16/ROUNDUP(Model!$J$101,0)*Model!$J$92)*1000000</f>
        <v>27418839952.303734</v>
      </c>
      <c r="T16" s="24">
        <f>(R16+S16)/POWER(1+Model!$J$94,(B16-1))</f>
        <v>20039705508.120415</v>
      </c>
      <c r="U16" s="39">
        <f t="shared" si="6"/>
        <v>221631107564.05588</v>
      </c>
      <c r="V16" s="12">
        <f>ROUNDUP(B16/Model!$J$30,0)</f>
        <v>5</v>
      </c>
      <c r="W16" s="12" t="b">
        <f>IF(MOD(B16,Model!$J$71)=0,TRUE,FALSE)</f>
        <v>1</v>
      </c>
      <c r="X16" s="12">
        <f t="shared" si="4"/>
        <v>5</v>
      </c>
      <c r="Y16" s="18">
        <f>Model!$J$27*POWER(1+Model!$J$31,X16-1)</f>
        <v>10018.6875</v>
      </c>
      <c r="Z16" s="61">
        <f>Y16*Q16*Model!$J$34/1000000</f>
        <v>6548.161764705882</v>
      </c>
      <c r="AA16" s="61">
        <f t="shared" si="0"/>
        <v>29.545318961208235</v>
      </c>
      <c r="AB16" s="1"/>
      <c r="AC16" s="30">
        <f t="shared" si="1"/>
        <v>-0.6978737018157295</v>
      </c>
    </row>
    <row r="17" spans="2:29" x14ac:dyDescent="0.25">
      <c r="B17" s="12">
        <v>11</v>
      </c>
      <c r="C17" s="12">
        <v>2036</v>
      </c>
      <c r="D17" s="1"/>
      <c r="E17" s="30">
        <f>IF(B17/ROUNDUP(Model!$C$101,0)&gt;=1,1,B17/ROUNDUP(Model!$C$101,0))</f>
        <v>1</v>
      </c>
      <c r="F17" s="22">
        <f>IF(B17/ROUNDUP(Model!$C$101,0)&gt;1,0,1/ROUNDUP(Model!$C$101,0)*Model!$C$86*1000000000)</f>
        <v>0</v>
      </c>
      <c r="G17" s="22">
        <f>IF(B17/ROUNDUP(Model!$C$101,0)&gt;=1,Model!$C$92,B17/ROUNDUP(Model!$C$101,0)*Model!$C$92)*1000000</f>
        <v>6356293430.8804092</v>
      </c>
      <c r="H17" s="24">
        <f>(F17+G17)/POWER(1+Model!$C$94,(B17-1))</f>
        <v>2450626277.9209552</v>
      </c>
      <c r="I17" s="39">
        <f t="shared" si="5"/>
        <v>82803329586.890656</v>
      </c>
      <c r="J17" s="12">
        <f>ROUNDUP(B17/Model!$C$31,0)</f>
        <v>6</v>
      </c>
      <c r="K17" s="12" t="b">
        <f>IF(MOD(B17,Model!$C$62)=0,TRUE,FALSE)</f>
        <v>0</v>
      </c>
      <c r="L17" s="12">
        <f t="shared" si="2"/>
        <v>5</v>
      </c>
      <c r="M17" s="18">
        <f>Model!$C$27*POWER(1+Model!$C$32,L17-1)</f>
        <v>10018.6875</v>
      </c>
      <c r="N17" s="61">
        <f>M17*E17*Model!$C$34/1000000</f>
        <v>7857.7941176470586</v>
      </c>
      <c r="O17" s="61">
        <f t="shared" si="3"/>
        <v>94.89707910116573</v>
      </c>
      <c r="Q17" s="30">
        <f>IF(B17/ROUNDUP(Model!$J$101,0)&gt;=1,1,B17/ROUNDUP(Model!$J$101,0))</f>
        <v>0.91666666666666663</v>
      </c>
      <c r="R17" s="22">
        <f>IF(B17/ROUNDUP(Model!$J$101,0)&gt;1,0,1/ROUNDUP(Model!$J$101,0)*Model!$J$86*1000000000)</f>
        <v>19833737378.888809</v>
      </c>
      <c r="S17" s="22">
        <f>IF(B17/ROUNDUP(Model!$J$101,0)&gt;=1,Model!$J$92,B17/ROUNDUP(Model!$J$101,0)*Model!$J$92)*1000000</f>
        <v>30160723947.534103</v>
      </c>
      <c r="T17" s="24">
        <f>(R17+S17)/POWER(1+Model!$J$94,(B17-1))</f>
        <v>19275029073.046585</v>
      </c>
      <c r="U17" s="39">
        <f t="shared" si="6"/>
        <v>240906136637.10248</v>
      </c>
      <c r="V17" s="12">
        <f>ROUNDUP(B17/Model!$J$30,0)</f>
        <v>6</v>
      </c>
      <c r="W17" s="12" t="b">
        <f>IF(MOD(B17,Model!$J$71)=0,TRUE,FALSE)</f>
        <v>0</v>
      </c>
      <c r="X17" s="12">
        <f t="shared" si="4"/>
        <v>5</v>
      </c>
      <c r="Y17" s="18">
        <f>Model!$J$27*POWER(1+Model!$J$31,X17-1)</f>
        <v>10018.6875</v>
      </c>
      <c r="Z17" s="61">
        <f>Y17*Q17*Model!$J$34/1000000</f>
        <v>7202.9779411764694</v>
      </c>
      <c r="AA17" s="61">
        <f t="shared" si="0"/>
        <v>29.899520376381822</v>
      </c>
      <c r="AB17" s="1"/>
      <c r="AC17" s="30">
        <f t="shared" si="1"/>
        <v>-0.68492686329673846</v>
      </c>
    </row>
    <row r="18" spans="2:29" x14ac:dyDescent="0.25">
      <c r="B18" s="12">
        <v>12</v>
      </c>
      <c r="C18" s="12">
        <v>2037</v>
      </c>
      <c r="D18" s="1"/>
      <c r="E18" s="30">
        <f>IF(B18/ROUNDUP(Model!$C$101,0)&gt;=1,1,B18/ROUNDUP(Model!$C$101,0))</f>
        <v>1</v>
      </c>
      <c r="F18" s="22">
        <f>IF(B18/ROUNDUP(Model!$C$101,0)&gt;1,0,1/ROUNDUP(Model!$C$101,0)*Model!$C$86*1000000000)</f>
        <v>0</v>
      </c>
      <c r="G18" s="22">
        <f>IF(B18/ROUNDUP(Model!$C$101,0)&gt;=1,Model!$C$92,B18/ROUNDUP(Model!$C$101,0)*Model!$C$92)*1000000</f>
        <v>6356293430.8804092</v>
      </c>
      <c r="H18" s="24">
        <f>(F18+G18)/POWER(1+Model!$C$94,(B18-1))</f>
        <v>2227842070.8372316</v>
      </c>
      <c r="I18" s="39">
        <f t="shared" si="5"/>
        <v>85031171657.72789</v>
      </c>
      <c r="J18" s="12">
        <f>ROUNDUP(B18/Model!$C$31,0)</f>
        <v>6</v>
      </c>
      <c r="K18" s="12" t="b">
        <f>IF(MOD(B18,Model!$C$62)=0,TRUE,FALSE)</f>
        <v>0</v>
      </c>
      <c r="L18" s="12">
        <f t="shared" si="2"/>
        <v>5</v>
      </c>
      <c r="M18" s="18">
        <f>Model!$C$27*POWER(1+Model!$C$32,L18-1)</f>
        <v>10018.6875</v>
      </c>
      <c r="N18" s="61">
        <f>M18*E18*Model!$C$34/1000000</f>
        <v>7857.7941176470586</v>
      </c>
      <c r="O18" s="61">
        <f t="shared" si="3"/>
        <v>92.410747311311667</v>
      </c>
      <c r="Q18" s="30">
        <f>IF(B18/ROUNDUP(Model!$J$101,0)&gt;=1,1,B18/ROUNDUP(Model!$J$101,0))</f>
        <v>1</v>
      </c>
      <c r="R18" s="22">
        <f>IF(B18/ROUNDUP(Model!$J$101,0)&gt;1,0,1/ROUNDUP(Model!$J$101,0)*Model!$J$86*1000000000)</f>
        <v>19833737378.888809</v>
      </c>
      <c r="S18" s="22">
        <f>IF(B18/ROUNDUP(Model!$J$101,0)&gt;=1,Model!$J$92,B18/ROUNDUP(Model!$J$101,0)*Model!$J$92)*1000000</f>
        <v>32902607942.764481</v>
      </c>
      <c r="T18" s="24">
        <f>(R18+S18)/POWER(1+Model!$J$94,(B18-1))</f>
        <v>18483767316.183537</v>
      </c>
      <c r="U18" s="39">
        <f t="shared" si="6"/>
        <v>259389903953.28601</v>
      </c>
      <c r="V18" s="12">
        <f>ROUNDUP(B18/Model!$J$30,0)</f>
        <v>6</v>
      </c>
      <c r="W18" s="12" t="b">
        <f>IF(MOD(B18,Model!$J$71)=0,TRUE,FALSE)</f>
        <v>0</v>
      </c>
      <c r="X18" s="12">
        <f t="shared" si="4"/>
        <v>5</v>
      </c>
      <c r="Y18" s="18">
        <f>Model!$J$27*POWER(1+Model!$J$31,X18-1)</f>
        <v>10018.6875</v>
      </c>
      <c r="Z18" s="61">
        <f>Y18*Q18*Model!$J$34/1000000</f>
        <v>7857.7941176470586</v>
      </c>
      <c r="AA18" s="61">
        <f t="shared" si="0"/>
        <v>30.293369163135132</v>
      </c>
      <c r="AB18" s="1"/>
      <c r="AC18" s="30">
        <f t="shared" si="1"/>
        <v>-0.67218781316546039</v>
      </c>
    </row>
    <row r="19" spans="2:29" x14ac:dyDescent="0.25">
      <c r="B19" s="12">
        <v>13</v>
      </c>
      <c r="C19" s="12">
        <v>2038</v>
      </c>
      <c r="D19" s="1"/>
      <c r="E19" s="30">
        <f>IF(B19/ROUNDUP(Model!$C$101,0)&gt;=1,1,B19/ROUNDUP(Model!$C$101,0))</f>
        <v>1</v>
      </c>
      <c r="F19" s="22">
        <f>IF(B19/ROUNDUP(Model!$C$101,0)&gt;1,0,1/ROUNDUP(Model!$C$101,0)*Model!$C$86*1000000000)</f>
        <v>0</v>
      </c>
      <c r="G19" s="22">
        <f>IF(B19/ROUNDUP(Model!$C$101,0)&gt;=1,Model!$C$92,B19/ROUNDUP(Model!$C$101,0)*Model!$C$92)*1000000</f>
        <v>6356293430.8804092</v>
      </c>
      <c r="H19" s="24">
        <f>(F19+G19)/POWER(1+Model!$C$94,(B19-1))</f>
        <v>2025310973.4883926</v>
      </c>
      <c r="I19" s="39">
        <f t="shared" si="5"/>
        <v>87056482631.216278</v>
      </c>
      <c r="J19" s="12">
        <f>ROUNDUP(B19/Model!$C$31,0)</f>
        <v>7</v>
      </c>
      <c r="K19" s="12" t="b">
        <f>IF(MOD(B19,Model!$C$62)=0,TRUE,FALSE)</f>
        <v>0</v>
      </c>
      <c r="L19" s="12">
        <f t="shared" si="2"/>
        <v>5</v>
      </c>
      <c r="M19" s="18">
        <f>Model!$C$27*POWER(1+Model!$C$32,L19-1)</f>
        <v>10018.6875</v>
      </c>
      <c r="N19" s="61">
        <f>M19*E19*Model!$C$34/1000000</f>
        <v>7857.7941176470586</v>
      </c>
      <c r="O19" s="61">
        <f t="shared" si="3"/>
        <v>90.260872943073053</v>
      </c>
      <c r="Q19" s="30">
        <f>IF(B19/ROUNDUP(Model!$J$101,0)&gt;=1,1,B19/ROUNDUP(Model!$J$101,0))</f>
        <v>1</v>
      </c>
      <c r="R19" s="22">
        <f>IF(B19/ROUNDUP(Model!$J$101,0)&gt;1,0,1/ROUNDUP(Model!$J$101,0)*Model!$J$86*1000000000)</f>
        <v>0</v>
      </c>
      <c r="S19" s="22">
        <f>IF(B19/ROUNDUP(Model!$J$101,0)&gt;=1,Model!$J$92,B19/ROUNDUP(Model!$J$101,0)*Model!$J$92)*1000000</f>
        <v>32902607942.764481</v>
      </c>
      <c r="T19" s="24">
        <f>(R19+S19)/POWER(1+Model!$J$94,(B19-1))</f>
        <v>10483784873.606319</v>
      </c>
      <c r="U19" s="39">
        <f t="shared" si="6"/>
        <v>269873688826.89233</v>
      </c>
      <c r="V19" s="12">
        <f>ROUNDUP(B19/Model!$J$30,0)</f>
        <v>7</v>
      </c>
      <c r="W19" s="12" t="b">
        <f>IF(MOD(B19,Model!$J$71)=0,TRUE,FALSE)</f>
        <v>0</v>
      </c>
      <c r="X19" s="12">
        <f t="shared" si="4"/>
        <v>5</v>
      </c>
      <c r="Y19" s="18">
        <f>Model!$J$27*POWER(1+Model!$J$31,X19-1)</f>
        <v>10018.6875</v>
      </c>
      <c r="Z19" s="61">
        <f>Y19*Q19*Model!$J$34/1000000</f>
        <v>7857.7941176470586</v>
      </c>
      <c r="AA19" s="61">
        <f t="shared" si="0"/>
        <v>29.116562462253807</v>
      </c>
      <c r="AB19" s="1"/>
      <c r="AC19" s="30">
        <f t="shared" si="1"/>
        <v>-0.67741767265404762</v>
      </c>
    </row>
    <row r="20" spans="2:29" x14ac:dyDescent="0.25">
      <c r="B20" s="12">
        <v>14</v>
      </c>
      <c r="C20" s="12">
        <v>2039</v>
      </c>
      <c r="D20" s="1"/>
      <c r="E20" s="30">
        <f>IF(B20/ROUNDUP(Model!$C$101,0)&gt;=1,1,B20/ROUNDUP(Model!$C$101,0))</f>
        <v>1</v>
      </c>
      <c r="F20" s="22">
        <f>IF(B20/ROUNDUP(Model!$C$101,0)&gt;1,0,1/ROUNDUP(Model!$C$101,0)*Model!$C$86*1000000000)</f>
        <v>0</v>
      </c>
      <c r="G20" s="22">
        <f>IF(B20/ROUNDUP(Model!$C$101,0)&gt;=1,Model!$C$92,B20/ROUNDUP(Model!$C$101,0)*Model!$C$92)*1000000</f>
        <v>6356293430.8804092</v>
      </c>
      <c r="H20" s="24">
        <f>(F20+G20)/POWER(1+Model!$C$94,(B20-1))</f>
        <v>1841191794.0803568</v>
      </c>
      <c r="I20" s="39">
        <f t="shared" si="5"/>
        <v>88897674425.296631</v>
      </c>
      <c r="J20" s="12">
        <f>ROUNDUP(B20/Model!$C$31,0)</f>
        <v>7</v>
      </c>
      <c r="K20" s="12" t="b">
        <f>IF(MOD(B20,Model!$C$62)=0,TRUE,FALSE)</f>
        <v>0</v>
      </c>
      <c r="L20" s="12">
        <f t="shared" si="2"/>
        <v>5</v>
      </c>
      <c r="M20" s="18">
        <f>Model!$C$27*POWER(1+Model!$C$32,L20-1)</f>
        <v>10018.6875</v>
      </c>
      <c r="N20" s="61">
        <f>M20*E20*Model!$C$34/1000000</f>
        <v>7857.7941176470586</v>
      </c>
      <c r="O20" s="61">
        <f t="shared" si="3"/>
        <v>88.391447452882446</v>
      </c>
      <c r="Q20" s="30">
        <f>IF(B20/ROUNDUP(Model!$J$101,0)&gt;=1,1,B20/ROUNDUP(Model!$J$101,0))</f>
        <v>1</v>
      </c>
      <c r="R20" s="22">
        <f>IF(B20/ROUNDUP(Model!$J$101,0)&gt;1,0,1/ROUNDUP(Model!$J$101,0)*Model!$J$86*1000000000)</f>
        <v>0</v>
      </c>
      <c r="S20" s="22">
        <f>IF(B20/ROUNDUP(Model!$J$101,0)&gt;=1,Model!$J$92,B20/ROUNDUP(Model!$J$101,0)*Model!$J$92)*1000000</f>
        <v>32902607942.764481</v>
      </c>
      <c r="T20" s="24">
        <f>(R20+S20)/POWER(1+Model!$J$94,(B20-1))</f>
        <v>9530713521.460289</v>
      </c>
      <c r="U20" s="39">
        <f t="shared" si="6"/>
        <v>279404402348.3526</v>
      </c>
      <c r="V20" s="12">
        <f>ROUNDUP(B20/Model!$J$30,0)</f>
        <v>7</v>
      </c>
      <c r="W20" s="12" t="b">
        <f>IF(MOD(B20,Model!$J$71)=0,TRUE,FALSE)</f>
        <v>0</v>
      </c>
      <c r="X20" s="12">
        <f t="shared" si="4"/>
        <v>5</v>
      </c>
      <c r="Y20" s="18">
        <f>Model!$J$27*POWER(1+Model!$J$31,X20-1)</f>
        <v>10018.6875</v>
      </c>
      <c r="Z20" s="61">
        <f>Y20*Q20*Model!$J$34/1000000</f>
        <v>7857.7941176470586</v>
      </c>
      <c r="AA20" s="61">
        <f t="shared" si="0"/>
        <v>28.123372615475859</v>
      </c>
      <c r="AB20" s="1"/>
      <c r="AC20" s="30">
        <f t="shared" si="1"/>
        <v>-0.68183151847957713</v>
      </c>
    </row>
    <row r="21" spans="2:29" x14ac:dyDescent="0.25">
      <c r="B21" s="12">
        <v>15</v>
      </c>
      <c r="C21" s="12">
        <v>2040</v>
      </c>
      <c r="D21" s="1"/>
      <c r="E21" s="30">
        <f>IF(B21/ROUNDUP(Model!$C$101,0)&gt;=1,1,B21/ROUNDUP(Model!$C$101,0))</f>
        <v>1</v>
      </c>
      <c r="F21" s="22">
        <f>IF(B21/ROUNDUP(Model!$C$101,0)&gt;1,0,1/ROUNDUP(Model!$C$101,0)*Model!$C$86*1000000000)</f>
        <v>0</v>
      </c>
      <c r="G21" s="22">
        <f>IF(B21/ROUNDUP(Model!$C$101,0)&gt;=1,Model!$C$92,B21/ROUNDUP(Model!$C$101,0)*Model!$C$92)*1000000</f>
        <v>6356293430.8804092</v>
      </c>
      <c r="H21" s="24">
        <f>(F21+G21)/POWER(1+Model!$C$94,(B21-1))</f>
        <v>1673810721.8912332</v>
      </c>
      <c r="I21" s="39">
        <f t="shared" si="5"/>
        <v>90571485147.187866</v>
      </c>
      <c r="J21" s="12">
        <f>ROUNDUP(B21/Model!$C$31,0)</f>
        <v>8</v>
      </c>
      <c r="K21" s="12" t="b">
        <f>IF(MOD(B21,Model!$C$62)=0,TRUE,FALSE)</f>
        <v>1</v>
      </c>
      <c r="L21" s="12">
        <f t="shared" si="2"/>
        <v>8</v>
      </c>
      <c r="M21" s="18">
        <f>Model!$C$27*POWER(1+Model!$C$32,L21-1)</f>
        <v>33813.0703125</v>
      </c>
      <c r="N21" s="61">
        <f>M21*E21*Model!$C$34/1000000</f>
        <v>26520.055147058822</v>
      </c>
      <c r="O21" s="61">
        <f t="shared" si="3"/>
        <v>292.80799695357803</v>
      </c>
      <c r="Q21" s="30">
        <f>IF(B21/ROUNDUP(Model!$J$101,0)&gt;=1,1,B21/ROUNDUP(Model!$J$101,0))</f>
        <v>1</v>
      </c>
      <c r="R21" s="22">
        <f>IF(B21/ROUNDUP(Model!$J$101,0)&gt;1,0,1/ROUNDUP(Model!$J$101,0)*Model!$J$86*1000000000)</f>
        <v>0</v>
      </c>
      <c r="S21" s="22">
        <f>IF(B21/ROUNDUP(Model!$J$101,0)&gt;=1,Model!$J$92,B21/ROUNDUP(Model!$J$101,0)*Model!$J$92)*1000000</f>
        <v>32902607942.764481</v>
      </c>
      <c r="T21" s="24">
        <f>(R21+S21)/POWER(1+Model!$J$94,(B21-1))</f>
        <v>8664285019.5093517</v>
      </c>
      <c r="U21" s="39">
        <f t="shared" si="6"/>
        <v>288068687367.86194</v>
      </c>
      <c r="V21" s="12">
        <f>ROUNDUP(B21/Model!$J$30,0)</f>
        <v>8</v>
      </c>
      <c r="W21" s="12" t="b">
        <f>IF(MOD(B21,Model!$J$71)=0,TRUE,FALSE)</f>
        <v>1</v>
      </c>
      <c r="X21" s="12">
        <f t="shared" si="4"/>
        <v>8</v>
      </c>
      <c r="Y21" s="18">
        <f>Model!$J$27*POWER(1+Model!$J$31,X21-1)</f>
        <v>33813.0703125</v>
      </c>
      <c r="Z21" s="61">
        <f>Y21*Q21*Model!$J$34/1000000</f>
        <v>26520.055147058822</v>
      </c>
      <c r="AA21" s="61">
        <f t="shared" si="0"/>
        <v>92.061568334196892</v>
      </c>
      <c r="AB21" s="1"/>
      <c r="AC21" s="30">
        <f t="shared" si="1"/>
        <v>-0.68559066250915135</v>
      </c>
    </row>
    <row r="22" spans="2:29" x14ac:dyDescent="0.25">
      <c r="B22" s="12">
        <v>16</v>
      </c>
      <c r="C22" s="12">
        <v>2041</v>
      </c>
      <c r="D22" s="1"/>
      <c r="E22" s="30">
        <f>IF(B22/ROUNDUP(Model!$C$101,0)&gt;=1,1,B22/ROUNDUP(Model!$C$101,0))</f>
        <v>1</v>
      </c>
      <c r="F22" s="22">
        <f>IF(B22/ROUNDUP(Model!$C$101,0)&gt;1,0,1/ROUNDUP(Model!$C$101,0)*Model!$C$86*1000000000)</f>
        <v>0</v>
      </c>
      <c r="G22" s="22">
        <f>IF(B22/ROUNDUP(Model!$C$101,0)&gt;=1,Model!$C$92,B22/ROUNDUP(Model!$C$101,0)*Model!$C$92)*1000000</f>
        <v>6356293430.8804092</v>
      </c>
      <c r="H22" s="24">
        <f>(F22+G22)/POWER(1+Model!$C$94,(B22-1))</f>
        <v>1521646110.8102119</v>
      </c>
      <c r="I22" s="39">
        <f t="shared" si="5"/>
        <v>92093131257.998077</v>
      </c>
      <c r="J22" s="12">
        <f>ROUNDUP(B22/Model!$C$31,0)</f>
        <v>8</v>
      </c>
      <c r="K22" s="12" t="b">
        <f>IF(MOD(B22,Model!$C$62)=0,TRUE,FALSE)</f>
        <v>0</v>
      </c>
      <c r="L22" s="12">
        <f t="shared" si="2"/>
        <v>8</v>
      </c>
      <c r="M22" s="18">
        <f>Model!$C$27*POWER(1+Model!$C$32,L22-1)</f>
        <v>33813.0703125</v>
      </c>
      <c r="N22" s="61">
        <f>M22*E22*Model!$C$34/1000000</f>
        <v>26520.055147058822</v>
      </c>
      <c r="O22" s="61">
        <f t="shared" si="3"/>
        <v>287.9699580717168</v>
      </c>
      <c r="Q22" s="30">
        <f>IF(B22/ROUNDUP(Model!$J$101,0)&gt;=1,1,B22/ROUNDUP(Model!$J$101,0))</f>
        <v>1</v>
      </c>
      <c r="R22" s="22">
        <f>IF(B22/ROUNDUP(Model!$J$101,0)&gt;1,0,1/ROUNDUP(Model!$J$101,0)*Model!$J$86*1000000000)</f>
        <v>0</v>
      </c>
      <c r="S22" s="22">
        <f>IF(B22/ROUNDUP(Model!$J$101,0)&gt;=1,Model!$J$92,B22/ROUNDUP(Model!$J$101,0)*Model!$J$92)*1000000</f>
        <v>32902607942.764481</v>
      </c>
      <c r="T22" s="24">
        <f>(R22+S22)/POWER(1+Model!$J$94,(B22-1))</f>
        <v>7876622745.008502</v>
      </c>
      <c r="U22" s="39">
        <f t="shared" si="6"/>
        <v>295945310112.87042</v>
      </c>
      <c r="V22" s="12">
        <f>ROUNDUP(B22/Model!$J$30,0)</f>
        <v>8</v>
      </c>
      <c r="W22" s="12" t="b">
        <f>IF(MOD(B22,Model!$J$71)=0,TRUE,FALSE)</f>
        <v>0</v>
      </c>
      <c r="X22" s="12">
        <f t="shared" si="4"/>
        <v>8</v>
      </c>
      <c r="Y22" s="18">
        <f>Model!$J$27*POWER(1+Model!$J$31,X22-1)</f>
        <v>33813.0703125</v>
      </c>
      <c r="Z22" s="61">
        <f>Y22*Q22*Model!$J$34/1000000</f>
        <v>26520.055147058822</v>
      </c>
      <c r="AA22" s="61">
        <f t="shared" si="0"/>
        <v>89.611337773672957</v>
      </c>
      <c r="AB22" s="1"/>
      <c r="AC22" s="30">
        <f t="shared" si="1"/>
        <v>-0.68881706142640087</v>
      </c>
    </row>
    <row r="23" spans="2:29" x14ac:dyDescent="0.25">
      <c r="B23" s="12">
        <v>17</v>
      </c>
      <c r="C23" s="12">
        <v>2042</v>
      </c>
      <c r="D23" s="1"/>
      <c r="E23" s="30">
        <f>IF(B23/ROUNDUP(Model!$C$101,0)&gt;=1,1,B23/ROUNDUP(Model!$C$101,0))</f>
        <v>1</v>
      </c>
      <c r="F23" s="22">
        <f>IF(B23/ROUNDUP(Model!$C$101,0)&gt;1,0,1/ROUNDUP(Model!$C$101,0)*Model!$C$86*1000000000)</f>
        <v>0</v>
      </c>
      <c r="G23" s="22">
        <f>IF(B23/ROUNDUP(Model!$C$101,0)&gt;=1,Model!$C$92,B23/ROUNDUP(Model!$C$101,0)*Model!$C$92)*1000000</f>
        <v>6356293430.8804092</v>
      </c>
      <c r="H23" s="24">
        <f>(F23+G23)/POWER(1+Model!$C$94,(B23-1))</f>
        <v>1383314646.1911018</v>
      </c>
      <c r="I23" s="39">
        <f t="shared" si="5"/>
        <v>93476445904.189178</v>
      </c>
      <c r="J23" s="12">
        <f>ROUNDUP(B23/Model!$C$31,0)</f>
        <v>9</v>
      </c>
      <c r="K23" s="12" t="b">
        <f>IF(MOD(B23,Model!$C$62)=0,TRUE,FALSE)</f>
        <v>0</v>
      </c>
      <c r="L23" s="12">
        <f t="shared" si="2"/>
        <v>8</v>
      </c>
      <c r="M23" s="18">
        <f>Model!$C$27*POWER(1+Model!$C$32,L23-1)</f>
        <v>33813.0703125</v>
      </c>
      <c r="N23" s="61">
        <f>M23*E23*Model!$C$34/1000000</f>
        <v>26520.055147058822</v>
      </c>
      <c r="O23" s="61">
        <f t="shared" si="3"/>
        <v>283.70842398352585</v>
      </c>
      <c r="Q23" s="30">
        <f>IF(B23/ROUNDUP(Model!$J$101,0)&gt;=1,1,B23/ROUNDUP(Model!$J$101,0))</f>
        <v>1</v>
      </c>
      <c r="R23" s="22">
        <f>IF(B23/ROUNDUP(Model!$J$101,0)&gt;1,0,1/ROUNDUP(Model!$J$101,0)*Model!$J$86*1000000000)</f>
        <v>0</v>
      </c>
      <c r="S23" s="22">
        <f>IF(B23/ROUNDUP(Model!$J$101,0)&gt;=1,Model!$J$92,B23/ROUNDUP(Model!$J$101,0)*Model!$J$92)*1000000</f>
        <v>32902607942.764481</v>
      </c>
      <c r="T23" s="24">
        <f>(R23+S23)/POWER(1+Model!$J$94,(B23-1))</f>
        <v>7160566131.8259106</v>
      </c>
      <c r="U23" s="39">
        <f t="shared" si="6"/>
        <v>303105876244.69635</v>
      </c>
      <c r="V23" s="12">
        <f>ROUNDUP(B23/Model!$J$30,0)</f>
        <v>9</v>
      </c>
      <c r="W23" s="12" t="b">
        <f>IF(MOD(B23,Model!$J$71)=0,TRUE,FALSE)</f>
        <v>0</v>
      </c>
      <c r="X23" s="12">
        <f t="shared" si="4"/>
        <v>8</v>
      </c>
      <c r="Y23" s="18">
        <f>Model!$J$27*POWER(1+Model!$J$31,X23-1)</f>
        <v>33813.0703125</v>
      </c>
      <c r="Z23" s="61">
        <f>Y23*Q23*Model!$J$34/1000000</f>
        <v>26520.055147058822</v>
      </c>
      <c r="AA23" s="61">
        <f t="shared" si="0"/>
        <v>87.494361625801247</v>
      </c>
      <c r="AB23" s="1"/>
      <c r="AC23" s="30">
        <f t="shared" si="1"/>
        <v>-0.69160463973081809</v>
      </c>
    </row>
    <row r="24" spans="2:29" x14ac:dyDescent="0.25">
      <c r="B24" s="12">
        <v>18</v>
      </c>
      <c r="C24" s="12">
        <v>2043</v>
      </c>
      <c r="D24" s="1"/>
      <c r="E24" s="30">
        <f>IF(B24/ROUNDUP(Model!$C$101,0)&gt;=1,1,B24/ROUNDUP(Model!$C$101,0))</f>
        <v>1</v>
      </c>
      <c r="F24" s="22">
        <f>IF(B24/ROUNDUP(Model!$C$101,0)&gt;1,0,1/ROUNDUP(Model!$C$101,0)*Model!$C$86*1000000000)</f>
        <v>0</v>
      </c>
      <c r="G24" s="22">
        <f>IF(B24/ROUNDUP(Model!$C$101,0)&gt;=1,Model!$C$92,B24/ROUNDUP(Model!$C$101,0)*Model!$C$92)*1000000</f>
        <v>6356293430.8804092</v>
      </c>
      <c r="H24" s="24">
        <f>(F24+G24)/POWER(1+Model!$C$94,(B24-1))</f>
        <v>1257558769.2646379</v>
      </c>
      <c r="I24" s="39">
        <f t="shared" si="5"/>
        <v>94734004673.453812</v>
      </c>
      <c r="J24" s="12">
        <f>ROUNDUP(B24/Model!$C$31,0)</f>
        <v>9</v>
      </c>
      <c r="K24" s="12" t="b">
        <f>IF(MOD(B24,Model!$C$62)=0,TRUE,FALSE)</f>
        <v>0</v>
      </c>
      <c r="L24" s="12">
        <f t="shared" si="2"/>
        <v>8</v>
      </c>
      <c r="M24" s="18">
        <f>Model!$C$27*POWER(1+Model!$C$32,L24-1)</f>
        <v>33813.0703125</v>
      </c>
      <c r="N24" s="61">
        <f>M24*E24*Model!$C$34/1000000</f>
        <v>26520.055147058822</v>
      </c>
      <c r="O24" s="61">
        <f t="shared" si="3"/>
        <v>279.94229990036746</v>
      </c>
      <c r="Q24" s="30">
        <f>IF(B24/ROUNDUP(Model!$J$101,0)&gt;=1,1,B24/ROUNDUP(Model!$J$101,0))</f>
        <v>1</v>
      </c>
      <c r="R24" s="22">
        <f>IF(B24/ROUNDUP(Model!$J$101,0)&gt;1,0,1/ROUNDUP(Model!$J$101,0)*Model!$J$86*1000000000)</f>
        <v>0</v>
      </c>
      <c r="S24" s="22">
        <f>IF(B24/ROUNDUP(Model!$J$101,0)&gt;=1,Model!$J$92,B24/ROUNDUP(Model!$J$101,0)*Model!$J$92)*1000000</f>
        <v>32902607942.764481</v>
      </c>
      <c r="T24" s="24">
        <f>(R24+S24)/POWER(1+Model!$J$94,(B24-1))</f>
        <v>6509605574.3871918</v>
      </c>
      <c r="U24" s="39">
        <f t="shared" si="6"/>
        <v>309615481819.08356</v>
      </c>
      <c r="V24" s="12">
        <f>ROUNDUP(B24/Model!$J$30,0)</f>
        <v>9</v>
      </c>
      <c r="W24" s="12" t="b">
        <f>IF(MOD(B24,Model!$J$71)=0,TRUE,FALSE)</f>
        <v>0</v>
      </c>
      <c r="X24" s="12">
        <f t="shared" si="4"/>
        <v>8</v>
      </c>
      <c r="Y24" s="18">
        <f>Model!$J$27*POWER(1+Model!$J$31,X24-1)</f>
        <v>33813.0703125</v>
      </c>
      <c r="Z24" s="61">
        <f>Y24*Q24*Model!$J$34/1000000</f>
        <v>26520.055147058822</v>
      </c>
      <c r="AA24" s="61">
        <f t="shared" si="0"/>
        <v>85.654809608503953</v>
      </c>
      <c r="AB24" s="1"/>
      <c r="AC24" s="30">
        <f t="shared" si="1"/>
        <v>-0.69402691326395172</v>
      </c>
    </row>
    <row r="25" spans="2:29" x14ac:dyDescent="0.25">
      <c r="B25" s="12">
        <v>19</v>
      </c>
      <c r="C25" s="12">
        <v>2044</v>
      </c>
      <c r="D25" s="1"/>
      <c r="E25" s="30">
        <f>IF(B25/ROUNDUP(Model!$C$101,0)&gt;=1,1,B25/ROUNDUP(Model!$C$101,0))</f>
        <v>1</v>
      </c>
      <c r="F25" s="22">
        <f>IF(B25/ROUNDUP(Model!$C$101,0)&gt;1,0,1/ROUNDUP(Model!$C$101,0)*Model!$C$86*1000000000)</f>
        <v>0</v>
      </c>
      <c r="G25" s="22">
        <f>IF(B25/ROUNDUP(Model!$C$101,0)&gt;=1,Model!$C$92,B25/ROUNDUP(Model!$C$101,0)*Model!$C$92)*1000000</f>
        <v>6356293430.8804092</v>
      </c>
      <c r="H25" s="24">
        <f>(F25+G25)/POWER(1+Model!$C$94,(B25-1))</f>
        <v>1143235244.7860343</v>
      </c>
      <c r="I25" s="39">
        <f t="shared" si="5"/>
        <v>95877239918.239853</v>
      </c>
      <c r="J25" s="12">
        <f>ROUNDUP(B25/Model!$C$31,0)</f>
        <v>10</v>
      </c>
      <c r="K25" s="12" t="b">
        <f>IF(MOD(B25,Model!$C$62)=0,TRUE,FALSE)</f>
        <v>0</v>
      </c>
      <c r="L25" s="12">
        <f t="shared" si="2"/>
        <v>8</v>
      </c>
      <c r="M25" s="18">
        <f>Model!$C$27*POWER(1+Model!$C$32,L25-1)</f>
        <v>33813.0703125</v>
      </c>
      <c r="N25" s="61">
        <f>M25*E25*Model!$C$34/1000000</f>
        <v>26520.055147058822</v>
      </c>
      <c r="O25" s="61">
        <f t="shared" si="3"/>
        <v>276.60428241023658</v>
      </c>
      <c r="Q25" s="30">
        <f>IF(B25/ROUNDUP(Model!$J$101,0)&gt;=1,1,B25/ROUNDUP(Model!$J$101,0))</f>
        <v>1</v>
      </c>
      <c r="R25" s="22">
        <f>IF(B25/ROUNDUP(Model!$J$101,0)&gt;1,0,1/ROUNDUP(Model!$J$101,0)*Model!$J$86*1000000000)</f>
        <v>0</v>
      </c>
      <c r="S25" s="22">
        <f>IF(B25/ROUNDUP(Model!$J$101,0)&gt;=1,Model!$J$92,B25/ROUNDUP(Model!$J$101,0)*Model!$J$92)*1000000</f>
        <v>32902607942.764481</v>
      </c>
      <c r="T25" s="24">
        <f>(R25+S25)/POWER(1+Model!$J$94,(B25-1))</f>
        <v>5917823249.4429007</v>
      </c>
      <c r="U25" s="39">
        <f t="shared" si="6"/>
        <v>315533305068.52643</v>
      </c>
      <c r="V25" s="12">
        <f>ROUNDUP(B25/Model!$J$30,0)</f>
        <v>10</v>
      </c>
      <c r="W25" s="12" t="b">
        <f>IF(MOD(B25,Model!$J$71)=0,TRUE,FALSE)</f>
        <v>0</v>
      </c>
      <c r="X25" s="12">
        <f t="shared" si="4"/>
        <v>8</v>
      </c>
      <c r="Y25" s="18">
        <f>Model!$J$27*POWER(1+Model!$J$31,X25-1)</f>
        <v>33813.0703125</v>
      </c>
      <c r="Z25" s="61">
        <f>Y25*Q25*Model!$J$34/1000000</f>
        <v>26520.055147058822</v>
      </c>
      <c r="AA25" s="61">
        <f t="shared" si="0"/>
        <v>84.048354709495044</v>
      </c>
      <c r="AB25" s="1"/>
      <c r="AC25" s="30">
        <f t="shared" si="1"/>
        <v>-0.69614225066536939</v>
      </c>
    </row>
    <row r="26" spans="2:29" x14ac:dyDescent="0.25">
      <c r="B26" s="12">
        <v>20</v>
      </c>
      <c r="C26" s="12">
        <v>2045</v>
      </c>
      <c r="D26" s="1"/>
      <c r="E26" s="30">
        <f>IF(B26/ROUNDUP(Model!$C$101,0)&gt;=1,1,B26/ROUNDUP(Model!$C$101,0))</f>
        <v>1</v>
      </c>
      <c r="F26" s="22">
        <f>IF(B26/ROUNDUP(Model!$C$101,0)&gt;1,0,1/ROUNDUP(Model!$C$101,0)*Model!$C$86*1000000000)</f>
        <v>0</v>
      </c>
      <c r="G26" s="22">
        <f>IF(B26/ROUNDUP(Model!$C$101,0)&gt;=1,Model!$C$92,B26/ROUNDUP(Model!$C$101,0)*Model!$C$92)*1000000</f>
        <v>6356293430.8804092</v>
      </c>
      <c r="H26" s="24">
        <f>(F26+G26)/POWER(1+Model!$C$94,(B26-1))</f>
        <v>1039304767.9873037</v>
      </c>
      <c r="I26" s="39">
        <f t="shared" si="5"/>
        <v>96916544686.227158</v>
      </c>
      <c r="J26" s="12">
        <f>ROUNDUP(B26/Model!$C$31,0)</f>
        <v>10</v>
      </c>
      <c r="K26" s="12" t="b">
        <f>IF(MOD(B26,Model!$C$62)=0,TRUE,FALSE)</f>
        <v>1</v>
      </c>
      <c r="L26" s="12">
        <f t="shared" si="2"/>
        <v>10</v>
      </c>
      <c r="M26" s="18">
        <f>Model!$C$27*POWER(1+Model!$C$32,L26-1)</f>
        <v>76079.408203125</v>
      </c>
      <c r="N26" s="61">
        <f>M26*E26*Model!$C$34/1000000</f>
        <v>59670.12408088235</v>
      </c>
      <c r="O26" s="61">
        <f t="shared" si="3"/>
        <v>615.68563214947233</v>
      </c>
      <c r="Q26" s="30">
        <f>IF(B26/ROUNDUP(Model!$J$101,0)&gt;=1,1,B26/ROUNDUP(Model!$J$101,0))</f>
        <v>1</v>
      </c>
      <c r="R26" s="22">
        <f>IF(B26/ROUNDUP(Model!$J$101,0)&gt;1,0,1/ROUNDUP(Model!$J$101,0)*Model!$J$86*1000000000)</f>
        <v>0</v>
      </c>
      <c r="S26" s="22">
        <f>IF(B26/ROUNDUP(Model!$J$101,0)&gt;=1,Model!$J$92,B26/ROUNDUP(Model!$J$101,0)*Model!$J$92)*1000000</f>
        <v>32902607942.764481</v>
      </c>
      <c r="T26" s="24">
        <f>(R26+S26)/POWER(1+Model!$J$94,(B26-1))</f>
        <v>5379839317.6753635</v>
      </c>
      <c r="U26" s="39">
        <f t="shared" si="6"/>
        <v>320913144386.20178</v>
      </c>
      <c r="V26" s="12">
        <f>ROUNDUP(B26/Model!$J$30,0)</f>
        <v>10</v>
      </c>
      <c r="W26" s="12" t="b">
        <f>IF(MOD(B26,Model!$J$71)=0,TRUE,FALSE)</f>
        <v>1</v>
      </c>
      <c r="X26" s="12">
        <f t="shared" si="4"/>
        <v>10</v>
      </c>
      <c r="Y26" s="18">
        <f>Model!$J$27*POWER(1+Model!$J$31,X26-1)</f>
        <v>76079.408203125</v>
      </c>
      <c r="Z26" s="61">
        <f>Y26*Q26*Model!$J$34/1000000</f>
        <v>59670.12408088235</v>
      </c>
      <c r="AA26" s="61">
        <f t="shared" si="0"/>
        <v>185.93854793642404</v>
      </c>
      <c r="AB26" s="1"/>
      <c r="AC26" s="30">
        <f t="shared" si="1"/>
        <v>-0.69799758476208351</v>
      </c>
    </row>
    <row r="28" spans="2:29" x14ac:dyDescent="0.25">
      <c r="B28" s="117" t="s">
        <v>119</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row>
    <row r="29" spans="2:29" ht="15.75" thickBot="1" x14ac:dyDescent="0.3"/>
    <row r="30" spans="2:29" ht="15.75" thickBot="1" x14ac:dyDescent="0.3">
      <c r="E30" s="187" t="s">
        <v>72</v>
      </c>
      <c r="F30" s="188"/>
      <c r="G30" s="188"/>
      <c r="H30" s="188"/>
      <c r="I30" s="188"/>
      <c r="J30" s="188"/>
      <c r="K30" s="188"/>
      <c r="L30" s="188"/>
      <c r="M30" s="188"/>
      <c r="N30" s="188"/>
      <c r="O30" s="189"/>
      <c r="Q30" s="187" t="s">
        <v>73</v>
      </c>
      <c r="R30" s="188"/>
      <c r="S30" s="188"/>
      <c r="T30" s="188"/>
      <c r="U30" s="188"/>
      <c r="V30" s="188"/>
      <c r="W30" s="188"/>
      <c r="X30" s="188"/>
      <c r="Y30" s="188"/>
      <c r="Z30" s="188"/>
      <c r="AA30" s="189"/>
      <c r="AC30" s="62" t="s">
        <v>136</v>
      </c>
    </row>
    <row r="32" spans="2:29" ht="45" x14ac:dyDescent="0.25">
      <c r="B32" s="154" t="s">
        <v>826</v>
      </c>
      <c r="C32" s="154" t="s">
        <v>68</v>
      </c>
      <c r="D32" s="1"/>
      <c r="E32" s="154" t="s">
        <v>137</v>
      </c>
      <c r="F32" s="154" t="s">
        <v>69</v>
      </c>
      <c r="G32" s="154" t="s">
        <v>70</v>
      </c>
      <c r="H32" s="154" t="s">
        <v>74</v>
      </c>
      <c r="I32" s="154" t="s">
        <v>133</v>
      </c>
      <c r="J32" s="154" t="s">
        <v>128</v>
      </c>
      <c r="K32" s="154" t="s">
        <v>127</v>
      </c>
      <c r="L32" s="154" t="s">
        <v>129</v>
      </c>
      <c r="M32" s="154" t="s">
        <v>130</v>
      </c>
      <c r="N32" s="154" t="s">
        <v>131</v>
      </c>
      <c r="O32" s="154" t="s">
        <v>135</v>
      </c>
      <c r="Q32" s="154" t="s">
        <v>137</v>
      </c>
      <c r="R32" s="154" t="s">
        <v>69</v>
      </c>
      <c r="S32" s="154" t="s">
        <v>70</v>
      </c>
      <c r="T32" s="154" t="s">
        <v>74</v>
      </c>
      <c r="U32" s="154" t="s">
        <v>133</v>
      </c>
      <c r="V32" s="154" t="s">
        <v>128</v>
      </c>
      <c r="W32" s="154" t="s">
        <v>127</v>
      </c>
      <c r="X32" s="154" t="s">
        <v>129</v>
      </c>
      <c r="Y32" s="154" t="s">
        <v>130</v>
      </c>
      <c r="Z32" s="154" t="s">
        <v>131</v>
      </c>
      <c r="AA32" s="154" t="s">
        <v>135</v>
      </c>
      <c r="AB32" s="1"/>
      <c r="AC32" s="155" t="s">
        <v>132</v>
      </c>
    </row>
    <row r="33" spans="2:29" x14ac:dyDescent="0.25">
      <c r="B33" s="12">
        <v>1</v>
      </c>
      <c r="C33" s="12">
        <v>2031</v>
      </c>
      <c r="D33" s="1"/>
      <c r="E33" s="30">
        <f>IF(B33/ROUNDUP(Model!$D$101,0)&gt;=1,1,B33/ROUNDUP(Model!$D$101,0))</f>
        <v>0.5</v>
      </c>
      <c r="F33" s="22">
        <f>IF(B33/ROUNDUP(Model!$D$101,0)&gt;1,0,1/ROUNDUP(Model!$D$101,0)*Model!$D$86*1000000000)</f>
        <v>27991099476.439793</v>
      </c>
      <c r="G33" s="22">
        <f>IF(B33/ROUNDUP(Model!$D$101,0)&gt;=1,Model!$D$92,B33/ROUNDUP(Model!$D$101,0)*Model!$D$92)*1000000</f>
        <v>3609882559.4663486</v>
      </c>
      <c r="H33" s="24">
        <f>(F33+G33)/POWER(1+Model!$D$94,(B33-1))</f>
        <v>31600982035.906143</v>
      </c>
      <c r="I33" s="39">
        <f>H33</f>
        <v>31600982035.906143</v>
      </c>
      <c r="J33" s="12">
        <f>ROUNDUP(B33/Model!$D$31,0)</f>
        <v>1</v>
      </c>
      <c r="K33" s="12" t="b">
        <f>IF(MOD(B33,Model!$D$62)=0,TRUE,FALSE)</f>
        <v>0</v>
      </c>
      <c r="L33" s="12">
        <v>1</v>
      </c>
      <c r="M33" s="18">
        <f>Model!$D$27*POWER(1+Model!$D$32,L33-1)</f>
        <v>8400</v>
      </c>
      <c r="N33" s="61">
        <f>M33*E33*Model!$D$34/1000000</f>
        <v>2198.952879581152</v>
      </c>
      <c r="O33" s="61">
        <f>N33/(I33/1000000000)</f>
        <v>69.584953944868701</v>
      </c>
      <c r="Q33" s="30">
        <f>IF(B33/ROUNDUP(Model!$K$101,0)&gt;=1,1,B33/ROUNDUP(Model!$K$101,0))</f>
        <v>0.33333333333333331</v>
      </c>
      <c r="R33" s="22">
        <f>IF(B33/ROUNDUP(Model!$K$101,0)&gt;1,0,1/ROUNDUP(Model!$K$101,0)*Model!$K$86*1000000000)</f>
        <v>29878100482.572792</v>
      </c>
      <c r="S33" s="22">
        <f>IF(B33/ROUNDUP(Model!$K$101,0)&gt;=1,Model!$K$92,B33/ROUNDUP(Model!$K$101,0)*Model!$K$92)*1000000</f>
        <v>2187540261.2080989</v>
      </c>
      <c r="T33" s="24">
        <f>(R33+S33)/POWER(1+Model!$K$94,(B33-1))</f>
        <v>32065640743.780891</v>
      </c>
      <c r="U33" s="39">
        <f>T33</f>
        <v>32065640743.780891</v>
      </c>
      <c r="V33" s="12">
        <f>ROUNDUP(B33/Model!$K$30,0)</f>
        <v>1</v>
      </c>
      <c r="W33" s="12" t="b">
        <f>IF(MOD(B33,Model!$K$71)=0,TRUE,FALSE)</f>
        <v>0</v>
      </c>
      <c r="X33" s="12">
        <v>1</v>
      </c>
      <c r="Y33" s="18">
        <f>Model!$K$27*POWER(1+Model!$K$31,X33-1)</f>
        <v>8400</v>
      </c>
      <c r="Z33" s="61">
        <f>Y33*Q33*Model!$K$34/1000000</f>
        <v>1465.9685863874345</v>
      </c>
      <c r="AA33" s="61">
        <f t="shared" ref="AA33:AA52" si="7">Z33/(U33/1000000000)</f>
        <v>45.71773875037124</v>
      </c>
      <c r="AB33" s="1"/>
      <c r="AC33" s="30">
        <f t="shared" ref="AC33:AC52" si="8">(AA33-O33)/O33</f>
        <v>-0.3429939066052578</v>
      </c>
    </row>
    <row r="34" spans="2:29" x14ac:dyDescent="0.25">
      <c r="B34" s="12">
        <v>2</v>
      </c>
      <c r="C34" s="12">
        <v>2032</v>
      </c>
      <c r="D34" s="1"/>
      <c r="E34" s="30">
        <f>IF(B34/ROUNDUP(Model!$D$101,0)&gt;=1,1,B34/ROUNDUP(Model!$D$101,0))</f>
        <v>1</v>
      </c>
      <c r="F34" s="22">
        <f>IF(B34/ROUNDUP(Model!$D$101,0)&gt;1,0,1/ROUNDUP(Model!$D$101,0)*Model!$D$86*1000000000)</f>
        <v>27991099476.439793</v>
      </c>
      <c r="G34" s="22">
        <f>IF(B34/ROUNDUP(Model!$D$101,0)&gt;=1,Model!$D$92,B34/ROUNDUP(Model!$D$101,0)*Model!$D$92)*1000000</f>
        <v>7219765118.9326973</v>
      </c>
      <c r="H34" s="24">
        <f>(F34+G34)/POWER(1+Model!$D$94,(B34-1))</f>
        <v>32009876904.884079</v>
      </c>
      <c r="I34" s="39">
        <f>H34+I33</f>
        <v>63610858940.790222</v>
      </c>
      <c r="J34" s="12">
        <f>ROUNDUP(B34/Model!$D$31,0)</f>
        <v>1</v>
      </c>
      <c r="K34" s="12" t="b">
        <f>IF(MOD(B34,Model!$D$62)=0,TRUE,FALSE)</f>
        <v>0</v>
      </c>
      <c r="L34" s="12">
        <f t="shared" ref="L34:L52" si="9">IF(K34,J34,L33)</f>
        <v>1</v>
      </c>
      <c r="M34" s="18">
        <f>Model!$D$27*POWER(1+Model!$D$32,L34-1)</f>
        <v>8400</v>
      </c>
      <c r="N34" s="61">
        <f>M34*E34*Model!$D$34/1000000</f>
        <v>4397.9057591623041</v>
      </c>
      <c r="O34" s="61">
        <f t="shared" ref="O34:O52" si="10">N34/(I34/1000000000)</f>
        <v>69.137657192397441</v>
      </c>
      <c r="Q34" s="30">
        <f>IF(B34/ROUNDUP(Model!$K$101,0)&gt;=1,1,B34/ROUNDUP(Model!$K$101,0))</f>
        <v>0.66666666666666663</v>
      </c>
      <c r="R34" s="22">
        <f>IF(B34/ROUNDUP(Model!$K$101,0)&gt;1,0,1/ROUNDUP(Model!$K$101,0)*Model!$K$86*1000000000)</f>
        <v>29878100482.572792</v>
      </c>
      <c r="S34" s="22">
        <f>IF(B34/ROUNDUP(Model!$K$101,0)&gt;=1,Model!$K$92,B34/ROUNDUP(Model!$K$101,0)*Model!$K$92)*1000000</f>
        <v>4375080522.4161978</v>
      </c>
      <c r="T34" s="24">
        <f>(R34+S34)/POWER(1+Model!$K$94,(B34-1))</f>
        <v>31139255459.080898</v>
      </c>
      <c r="U34" s="39">
        <f>T34+U33</f>
        <v>63204896202.861786</v>
      </c>
      <c r="V34" s="12">
        <f>ROUNDUP(B34/Model!$K$30,0)</f>
        <v>1</v>
      </c>
      <c r="W34" s="12" t="b">
        <f>IF(MOD(B34,Model!$K$71)=0,TRUE,FALSE)</f>
        <v>0</v>
      </c>
      <c r="X34" s="12">
        <f t="shared" ref="X34:X52" si="11">IF(W34,V34,X33)</f>
        <v>1</v>
      </c>
      <c r="Y34" s="18">
        <f>Model!$K$27*POWER(1+Model!$K$31,X34-1)</f>
        <v>8400</v>
      </c>
      <c r="Z34" s="61">
        <f>Y34*Q34*Model!$K$34/1000000</f>
        <v>2931.9371727748689</v>
      </c>
      <c r="AA34" s="61">
        <f t="shared" si="7"/>
        <v>46.38781722486425</v>
      </c>
      <c r="AB34" s="1"/>
      <c r="AC34" s="30">
        <f t="shared" si="8"/>
        <v>-0.32905135770256944</v>
      </c>
    </row>
    <row r="35" spans="2:29" x14ac:dyDescent="0.25">
      <c r="B35" s="12">
        <v>3</v>
      </c>
      <c r="C35" s="12">
        <v>2033</v>
      </c>
      <c r="D35" s="1"/>
      <c r="E35" s="30">
        <f>IF(B35/ROUNDUP(Model!$D$101,0)&gt;=1,1,B35/ROUNDUP(Model!$D$101,0))</f>
        <v>1</v>
      </c>
      <c r="F35" s="22">
        <f>IF(B35/ROUNDUP(Model!$D$101,0)&gt;1,0,1/ROUNDUP(Model!$D$101,0)*Model!$D$86*1000000000)</f>
        <v>0</v>
      </c>
      <c r="G35" s="22">
        <f>IF(B35/ROUNDUP(Model!$D$101,0)&gt;=1,Model!$D$92,B35/ROUNDUP(Model!$D$101,0)*Model!$D$92)*1000000</f>
        <v>7219765118.9326973</v>
      </c>
      <c r="H35" s="24">
        <f>(F35+G35)/POWER(1+Model!$D$94,(B35-1))</f>
        <v>5966748032.1757822</v>
      </c>
      <c r="I35" s="39">
        <f t="shared" ref="I35:I52" si="12">H35+I34</f>
        <v>69577606972.966003</v>
      </c>
      <c r="J35" s="12">
        <f>ROUNDUP(B35/Model!$D$31,0)</f>
        <v>2</v>
      </c>
      <c r="K35" s="12" t="b">
        <f>IF(MOD(B35,Model!$D$62)=0,TRUE,FALSE)</f>
        <v>0</v>
      </c>
      <c r="L35" s="12">
        <f t="shared" si="9"/>
        <v>1</v>
      </c>
      <c r="M35" s="18">
        <f>Model!$D$27*POWER(1+Model!$D$32,L35-1)</f>
        <v>8400</v>
      </c>
      <c r="N35" s="61">
        <f>M35*E35*Model!$D$34/1000000</f>
        <v>4397.9057591623041</v>
      </c>
      <c r="O35" s="61">
        <f t="shared" si="10"/>
        <v>63.208637814621675</v>
      </c>
      <c r="Q35" s="30">
        <f>IF(B35/ROUNDUP(Model!$K$101,0)&gt;=1,1,B35/ROUNDUP(Model!$K$101,0))</f>
        <v>1</v>
      </c>
      <c r="R35" s="22">
        <f>IF(B35/ROUNDUP(Model!$K$101,0)&gt;1,0,1/ROUNDUP(Model!$K$101,0)*Model!$K$86*1000000000)</f>
        <v>29878100482.572792</v>
      </c>
      <c r="S35" s="22">
        <f>IF(B35/ROUNDUP(Model!$K$101,0)&gt;=1,Model!$K$92,B35/ROUNDUP(Model!$K$101,0)*Model!$K$92)*1000000</f>
        <v>6562620783.6242962</v>
      </c>
      <c r="T35" s="24">
        <f>(R35+S35)/POWER(1+Model!$K$94,(B35-1))</f>
        <v>30116298567.10503</v>
      </c>
      <c r="U35" s="39">
        <f t="shared" ref="U35:U52" si="13">T35+U34</f>
        <v>93321194769.966812</v>
      </c>
      <c r="V35" s="12">
        <f>ROUNDUP(B35/Model!$K$30,0)</f>
        <v>2</v>
      </c>
      <c r="W35" s="12" t="b">
        <f>IF(MOD(B35,Model!$K$71)=0,TRUE,FALSE)</f>
        <v>0</v>
      </c>
      <c r="X35" s="12">
        <f t="shared" si="11"/>
        <v>1</v>
      </c>
      <c r="Y35" s="18">
        <f>Model!$K$27*POWER(1+Model!$K$31,X35-1)</f>
        <v>8400</v>
      </c>
      <c r="Z35" s="61">
        <f>Y35*Q35*Model!$K$34/1000000</f>
        <v>4397.9057591623041</v>
      </c>
      <c r="AA35" s="61">
        <f t="shared" si="7"/>
        <v>47.126547940186306</v>
      </c>
      <c r="AB35" s="1"/>
      <c r="AC35" s="30">
        <f t="shared" si="8"/>
        <v>-0.25442867352403525</v>
      </c>
    </row>
    <row r="36" spans="2:29" x14ac:dyDescent="0.25">
      <c r="B36" s="12">
        <v>4</v>
      </c>
      <c r="C36" s="12">
        <v>2034</v>
      </c>
      <c r="D36" s="1"/>
      <c r="E36" s="30">
        <f>IF(B36/ROUNDUP(Model!$D$101,0)&gt;=1,1,B36/ROUNDUP(Model!$D$101,0))</f>
        <v>1</v>
      </c>
      <c r="F36" s="22">
        <f>IF(B36/ROUNDUP(Model!$D$101,0)&gt;1,0,1/ROUNDUP(Model!$D$101,0)*Model!$D$86*1000000000)</f>
        <v>0</v>
      </c>
      <c r="G36" s="22">
        <f>IF(B36/ROUNDUP(Model!$D$101,0)&gt;=1,Model!$D$92,B36/ROUNDUP(Model!$D$101,0)*Model!$D$92)*1000000</f>
        <v>7219765118.9326973</v>
      </c>
      <c r="H36" s="24">
        <f>(F36+G36)/POWER(1+Model!$D$94,(B36-1))</f>
        <v>5424316392.8870735</v>
      </c>
      <c r="I36" s="39">
        <f t="shared" si="12"/>
        <v>75001923365.853073</v>
      </c>
      <c r="J36" s="12">
        <f>ROUNDUP(B36/Model!$D$31,0)</f>
        <v>2</v>
      </c>
      <c r="K36" s="12" t="b">
        <f>IF(MOD(B36,Model!$D$62)=0,TRUE,FALSE)</f>
        <v>0</v>
      </c>
      <c r="L36" s="12">
        <f t="shared" si="9"/>
        <v>1</v>
      </c>
      <c r="M36" s="18">
        <f>Model!$D$27*POWER(1+Model!$D$32,L36-1)</f>
        <v>8400</v>
      </c>
      <c r="N36" s="61">
        <f>M36*E36*Model!$D$34/1000000</f>
        <v>4397.9057591623041</v>
      </c>
      <c r="O36" s="61">
        <f t="shared" si="10"/>
        <v>58.637239710636351</v>
      </c>
      <c r="Q36" s="30">
        <f>IF(B36/ROUNDUP(Model!$K$101,0)&gt;=1,1,B36/ROUNDUP(Model!$K$101,0))</f>
        <v>1</v>
      </c>
      <c r="R36" s="22">
        <f>IF(B36/ROUNDUP(Model!$K$101,0)&gt;1,0,1/ROUNDUP(Model!$K$101,0)*Model!$K$86*1000000000)</f>
        <v>0</v>
      </c>
      <c r="S36" s="22">
        <f>IF(B36/ROUNDUP(Model!$K$101,0)&gt;=1,Model!$K$92,B36/ROUNDUP(Model!$K$101,0)*Model!$K$92)*1000000</f>
        <v>6562620783.6242962</v>
      </c>
      <c r="T36" s="24">
        <f>(R36+S36)/POWER(1+Model!$K$94,(B36-1))</f>
        <v>4930594127.4412432</v>
      </c>
      <c r="U36" s="39">
        <f t="shared" si="13"/>
        <v>98251788897.408051</v>
      </c>
      <c r="V36" s="12">
        <f>ROUNDUP(B36/Model!$K$30,0)</f>
        <v>2</v>
      </c>
      <c r="W36" s="12" t="b">
        <f>IF(MOD(B36,Model!$K$71)=0,TRUE,FALSE)</f>
        <v>0</v>
      </c>
      <c r="X36" s="12">
        <f t="shared" si="11"/>
        <v>1</v>
      </c>
      <c r="Y36" s="18">
        <f>Model!$K$27*POWER(1+Model!$K$31,X36-1)</f>
        <v>8400</v>
      </c>
      <c r="Z36" s="61">
        <f>Y36*Q36*Model!$K$34/1000000</f>
        <v>4397.9057591623041</v>
      </c>
      <c r="AA36" s="61">
        <f t="shared" si="7"/>
        <v>44.76158458299912</v>
      </c>
      <c r="AB36" s="1"/>
      <c r="AC36" s="30">
        <f t="shared" si="8"/>
        <v>-0.23663554417143365</v>
      </c>
    </row>
    <row r="37" spans="2:29" x14ac:dyDescent="0.25">
      <c r="B37" s="12">
        <v>5</v>
      </c>
      <c r="C37" s="12">
        <v>2035</v>
      </c>
      <c r="D37" s="1"/>
      <c r="E37" s="30">
        <f>IF(B37/ROUNDUP(Model!$D$101,0)&gt;=1,1,B37/ROUNDUP(Model!$D$101,0))</f>
        <v>1</v>
      </c>
      <c r="F37" s="22">
        <f>IF(B37/ROUNDUP(Model!$D$101,0)&gt;1,0,1/ROUNDUP(Model!$D$101,0)*Model!$D$86*1000000000)</f>
        <v>0</v>
      </c>
      <c r="G37" s="22">
        <f>IF(B37/ROUNDUP(Model!$D$101,0)&gt;=1,Model!$D$92,B37/ROUNDUP(Model!$D$101,0)*Model!$D$92)*1000000</f>
        <v>7219765118.9326973</v>
      </c>
      <c r="H37" s="24">
        <f>(F37+G37)/POWER(1+Model!$D$94,(B37-1))</f>
        <v>4931196720.8064308</v>
      </c>
      <c r="I37" s="39">
        <f t="shared" si="12"/>
        <v>79933120086.6595</v>
      </c>
      <c r="J37" s="12">
        <f>ROUNDUP(B37/Model!$D$31,0)</f>
        <v>3</v>
      </c>
      <c r="K37" s="12" t="b">
        <f>IF(MOD(B37,Model!$D$62)=0,TRUE,FALSE)</f>
        <v>1</v>
      </c>
      <c r="L37" s="12">
        <f t="shared" si="9"/>
        <v>3</v>
      </c>
      <c r="M37" s="18">
        <f>Model!$D$27*POWER(1+Model!$D$32,L37-1)</f>
        <v>18900</v>
      </c>
      <c r="N37" s="61">
        <f>M37*E37*Model!$D$34/1000000</f>
        <v>9895.2879581151828</v>
      </c>
      <c r="O37" s="61">
        <f t="shared" si="10"/>
        <v>123.79459162093517</v>
      </c>
      <c r="Q37" s="30">
        <f>IF(B37/ROUNDUP(Model!$K$101,0)&gt;=1,1,B37/ROUNDUP(Model!$K$101,0))</f>
        <v>1</v>
      </c>
      <c r="R37" s="22">
        <f>IF(B37/ROUNDUP(Model!$K$101,0)&gt;1,0,1/ROUNDUP(Model!$K$101,0)*Model!$K$86*1000000000)</f>
        <v>0</v>
      </c>
      <c r="S37" s="22">
        <f>IF(B37/ROUNDUP(Model!$K$101,0)&gt;=1,Model!$K$92,B37/ROUNDUP(Model!$K$101,0)*Model!$K$92)*1000000</f>
        <v>6562620783.6242962</v>
      </c>
      <c r="T37" s="24">
        <f>(R37+S37)/POWER(1+Model!$K$94,(B37-1))</f>
        <v>4482358297.6738577</v>
      </c>
      <c r="U37" s="39">
        <f t="shared" si="13"/>
        <v>102734147195.08191</v>
      </c>
      <c r="V37" s="12">
        <f>ROUNDUP(B37/Model!$K$30,0)</f>
        <v>3</v>
      </c>
      <c r="W37" s="12" t="b">
        <f>IF(MOD(B37,Model!$K$71)=0,TRUE,FALSE)</f>
        <v>1</v>
      </c>
      <c r="X37" s="12">
        <f t="shared" si="11"/>
        <v>3</v>
      </c>
      <c r="Y37" s="18">
        <f>Model!$K$27*POWER(1+Model!$K$31,X37-1)</f>
        <v>18900</v>
      </c>
      <c r="Z37" s="61">
        <f>Y37*Q37*Model!$K$34/1000000</f>
        <v>9895.2879581151828</v>
      </c>
      <c r="AA37" s="61">
        <f t="shared" si="7"/>
        <v>96.319366328364197</v>
      </c>
      <c r="AB37" s="1"/>
      <c r="AC37" s="30">
        <f t="shared" si="8"/>
        <v>-0.22194204878272383</v>
      </c>
    </row>
    <row r="38" spans="2:29" x14ac:dyDescent="0.25">
      <c r="B38" s="12">
        <v>6</v>
      </c>
      <c r="C38" s="12">
        <v>2036</v>
      </c>
      <c r="D38" s="1"/>
      <c r="E38" s="30">
        <f>IF(B38/ROUNDUP(Model!$D$101,0)&gt;=1,1,B38/ROUNDUP(Model!$D$101,0))</f>
        <v>1</v>
      </c>
      <c r="F38" s="22">
        <f>IF(B38/ROUNDUP(Model!$D$101,0)&gt;1,0,1/ROUNDUP(Model!$D$101,0)*Model!$D$86*1000000000)</f>
        <v>0</v>
      </c>
      <c r="G38" s="22">
        <f>IF(B38/ROUNDUP(Model!$D$101,0)&gt;=1,Model!$D$92,B38/ROUNDUP(Model!$D$101,0)*Model!$D$92)*1000000</f>
        <v>7219765118.9326973</v>
      </c>
      <c r="H38" s="24">
        <f>(F38+G38)/POWER(1+Model!$D$94,(B38-1))</f>
        <v>4482906109.824028</v>
      </c>
      <c r="I38" s="39">
        <f t="shared" si="12"/>
        <v>84416026196.483521</v>
      </c>
      <c r="J38" s="12">
        <f>ROUNDUP(B38/Model!$D$31,0)</f>
        <v>3</v>
      </c>
      <c r="K38" s="12" t="b">
        <f>IF(MOD(B38,Model!$D$62)=0,TRUE,FALSE)</f>
        <v>0</v>
      </c>
      <c r="L38" s="12">
        <f t="shared" si="9"/>
        <v>3</v>
      </c>
      <c r="M38" s="18">
        <f>Model!$D$27*POWER(1+Model!$D$32,L38-1)</f>
        <v>18900</v>
      </c>
      <c r="N38" s="61">
        <f>M38*E38*Model!$D$34/1000000</f>
        <v>9895.2879581151828</v>
      </c>
      <c r="O38" s="61">
        <f t="shared" si="10"/>
        <v>117.22049004158629</v>
      </c>
      <c r="Q38" s="30">
        <f>IF(B38/ROUNDUP(Model!$K$101,0)&gt;=1,1,B38/ROUNDUP(Model!$K$101,0))</f>
        <v>1</v>
      </c>
      <c r="R38" s="22">
        <f>IF(B38/ROUNDUP(Model!$K$101,0)&gt;1,0,1/ROUNDUP(Model!$K$101,0)*Model!$K$86*1000000000)</f>
        <v>0</v>
      </c>
      <c r="S38" s="22">
        <f>IF(B38/ROUNDUP(Model!$K$101,0)&gt;=1,Model!$K$92,B38/ROUNDUP(Model!$K$101,0)*Model!$K$92)*1000000</f>
        <v>6562620783.6242962</v>
      </c>
      <c r="T38" s="24">
        <f>(R38+S38)/POWER(1+Model!$K$94,(B38-1))</f>
        <v>4074871179.7035065</v>
      </c>
      <c r="U38" s="39">
        <f t="shared" si="13"/>
        <v>106809018374.78542</v>
      </c>
      <c r="V38" s="12">
        <f>ROUNDUP(B38/Model!$K$30,0)</f>
        <v>3</v>
      </c>
      <c r="W38" s="12" t="b">
        <f>IF(MOD(B38,Model!$K$71)=0,TRUE,FALSE)</f>
        <v>0</v>
      </c>
      <c r="X38" s="12">
        <f t="shared" si="11"/>
        <v>3</v>
      </c>
      <c r="Y38" s="18">
        <f>Model!$K$27*POWER(1+Model!$K$31,X38-1)</f>
        <v>18900</v>
      </c>
      <c r="Z38" s="61">
        <f>Y38*Q38*Model!$K$34/1000000</f>
        <v>9895.2879581151828</v>
      </c>
      <c r="AA38" s="61">
        <f t="shared" si="7"/>
        <v>92.644685895279991</v>
      </c>
      <c r="AB38" s="1"/>
      <c r="AC38" s="30">
        <f t="shared" si="8"/>
        <v>-0.2096545078218624</v>
      </c>
    </row>
    <row r="39" spans="2:29" x14ac:dyDescent="0.25">
      <c r="B39" s="12">
        <v>7</v>
      </c>
      <c r="C39" s="12">
        <v>2037</v>
      </c>
      <c r="D39" s="1"/>
      <c r="E39" s="30">
        <f>IF(B39/ROUNDUP(Model!$D$101,0)&gt;=1,1,B39/ROUNDUP(Model!$D$101,0))</f>
        <v>1</v>
      </c>
      <c r="F39" s="22">
        <f>IF(B39/ROUNDUP(Model!$D$101,0)&gt;1,0,1/ROUNDUP(Model!$D$101,0)*Model!$D$86*1000000000)</f>
        <v>0</v>
      </c>
      <c r="G39" s="22">
        <f>IF(B39/ROUNDUP(Model!$D$101,0)&gt;=1,Model!$D$92,B39/ROUNDUP(Model!$D$101,0)*Model!$D$92)*1000000</f>
        <v>7219765118.9326973</v>
      </c>
      <c r="H39" s="24">
        <f>(F39+G39)/POWER(1+Model!$D$94,(B39-1))</f>
        <v>4075369190.7491155</v>
      </c>
      <c r="I39" s="39">
        <f t="shared" si="12"/>
        <v>88491395387.232635</v>
      </c>
      <c r="J39" s="12">
        <f>ROUNDUP(B39/Model!$D$31,0)</f>
        <v>4</v>
      </c>
      <c r="K39" s="12" t="b">
        <f>IF(MOD(B39,Model!$D$62)=0,TRUE,FALSE)</f>
        <v>0</v>
      </c>
      <c r="L39" s="12">
        <f t="shared" si="9"/>
        <v>3</v>
      </c>
      <c r="M39" s="18">
        <f>Model!$D$27*POWER(1+Model!$D$32,L39-1)</f>
        <v>18900</v>
      </c>
      <c r="N39" s="61">
        <f>M39*E39*Model!$D$34/1000000</f>
        <v>9895.2879581151828</v>
      </c>
      <c r="O39" s="61">
        <f t="shared" si="10"/>
        <v>111.82203551897946</v>
      </c>
      <c r="Q39" s="30">
        <f>IF(B39/ROUNDUP(Model!$K$101,0)&gt;=1,1,B39/ROUNDUP(Model!$K$101,0))</f>
        <v>1</v>
      </c>
      <c r="R39" s="22">
        <f>IF(B39/ROUNDUP(Model!$K$101,0)&gt;1,0,1/ROUNDUP(Model!$K$101,0)*Model!$K$86*1000000000)</f>
        <v>0</v>
      </c>
      <c r="S39" s="22">
        <f>IF(B39/ROUNDUP(Model!$K$101,0)&gt;=1,Model!$K$92,B39/ROUNDUP(Model!$K$101,0)*Model!$K$92)*1000000</f>
        <v>6562620783.6242962</v>
      </c>
      <c r="T39" s="24">
        <f>(R39+S39)/POWER(1+Model!$K$94,(B39-1))</f>
        <v>3704428345.1850052</v>
      </c>
      <c r="U39" s="39">
        <f t="shared" si="13"/>
        <v>110513446719.97043</v>
      </c>
      <c r="V39" s="12">
        <f>ROUNDUP(B39/Model!$K$30,0)</f>
        <v>4</v>
      </c>
      <c r="W39" s="12" t="b">
        <f>IF(MOD(B39,Model!$K$71)=0,TRUE,FALSE)</f>
        <v>0</v>
      </c>
      <c r="X39" s="12">
        <f t="shared" si="11"/>
        <v>3</v>
      </c>
      <c r="Y39" s="18">
        <f>Model!$K$27*POWER(1+Model!$K$31,X39-1)</f>
        <v>18900</v>
      </c>
      <c r="Z39" s="61">
        <f>Y39*Q39*Model!$K$34/1000000</f>
        <v>9895.2879581151828</v>
      </c>
      <c r="AA39" s="61">
        <f t="shared" si="7"/>
        <v>89.539221260457225</v>
      </c>
      <c r="AB39" s="1"/>
      <c r="AC39" s="30">
        <f t="shared" si="8"/>
        <v>-0.19927033303503219</v>
      </c>
    </row>
    <row r="40" spans="2:29" x14ac:dyDescent="0.25">
      <c r="B40" s="12">
        <v>8</v>
      </c>
      <c r="C40" s="12">
        <v>2038</v>
      </c>
      <c r="D40" s="1"/>
      <c r="E40" s="30">
        <f>IF(B40/ROUNDUP(Model!$D$101,0)&gt;=1,1,B40/ROUNDUP(Model!$D$101,0))</f>
        <v>1</v>
      </c>
      <c r="F40" s="22">
        <f>IF(B40/ROUNDUP(Model!$D$101,0)&gt;1,0,1/ROUNDUP(Model!$D$101,0)*Model!$D$86*1000000000)</f>
        <v>0</v>
      </c>
      <c r="G40" s="22">
        <f>IF(B40/ROUNDUP(Model!$D$101,0)&gt;=1,Model!$D$92,B40/ROUNDUP(Model!$D$101,0)*Model!$D$92)*1000000</f>
        <v>7219765118.9326973</v>
      </c>
      <c r="H40" s="24">
        <f>(F40+G40)/POWER(1+Model!$D$94,(B40-1))</f>
        <v>3704881082.4991956</v>
      </c>
      <c r="I40" s="39">
        <f t="shared" si="12"/>
        <v>92196276469.731827</v>
      </c>
      <c r="J40" s="12">
        <f>ROUNDUP(B40/Model!$D$31,0)</f>
        <v>4</v>
      </c>
      <c r="K40" s="12" t="b">
        <f>IF(MOD(B40,Model!$D$62)=0,TRUE,FALSE)</f>
        <v>0</v>
      </c>
      <c r="L40" s="12">
        <f t="shared" si="9"/>
        <v>3</v>
      </c>
      <c r="M40" s="18">
        <f>Model!$D$27*POWER(1+Model!$D$32,L40-1)</f>
        <v>18900</v>
      </c>
      <c r="N40" s="61">
        <f>M40*E40*Model!$D$34/1000000</f>
        <v>9895.2879581151828</v>
      </c>
      <c r="O40" s="61">
        <f t="shared" si="10"/>
        <v>107.32849890487519</v>
      </c>
      <c r="Q40" s="30">
        <f>IF(B40/ROUNDUP(Model!$K$101,0)&gt;=1,1,B40/ROUNDUP(Model!$K$101,0))</f>
        <v>1</v>
      </c>
      <c r="R40" s="22">
        <f>IF(B40/ROUNDUP(Model!$K$101,0)&gt;1,0,1/ROUNDUP(Model!$K$101,0)*Model!$K$86*1000000000)</f>
        <v>0</v>
      </c>
      <c r="S40" s="22">
        <f>IF(B40/ROUNDUP(Model!$K$101,0)&gt;=1,Model!$K$92,B40/ROUNDUP(Model!$K$101,0)*Model!$K$92)*1000000</f>
        <v>6562620783.6242962</v>
      </c>
      <c r="T40" s="24">
        <f>(R40+S40)/POWER(1+Model!$K$94,(B40-1))</f>
        <v>3367662131.9863677</v>
      </c>
      <c r="U40" s="39">
        <f t="shared" si="13"/>
        <v>113881108851.9568</v>
      </c>
      <c r="V40" s="12">
        <f>ROUNDUP(B40/Model!$K$30,0)</f>
        <v>4</v>
      </c>
      <c r="W40" s="12" t="b">
        <f>IF(MOD(B40,Model!$K$71)=0,TRUE,FALSE)</f>
        <v>0</v>
      </c>
      <c r="X40" s="12">
        <f t="shared" si="11"/>
        <v>3</v>
      </c>
      <c r="Y40" s="18">
        <f>Model!$K$27*POWER(1+Model!$K$31,X40-1)</f>
        <v>18900</v>
      </c>
      <c r="Z40" s="61">
        <f>Y40*Q40*Model!$K$34/1000000</f>
        <v>9895.2879581151828</v>
      </c>
      <c r="AA40" s="61">
        <f t="shared" si="7"/>
        <v>86.891391011821483</v>
      </c>
      <c r="AB40" s="1"/>
      <c r="AC40" s="30">
        <f t="shared" si="8"/>
        <v>-0.19041641410793447</v>
      </c>
    </row>
    <row r="41" spans="2:29" x14ac:dyDescent="0.25">
      <c r="B41" s="12">
        <v>9</v>
      </c>
      <c r="C41" s="12">
        <v>2039</v>
      </c>
      <c r="D41" s="1"/>
      <c r="E41" s="30">
        <f>IF(B41/ROUNDUP(Model!$D$101,0)&gt;=1,1,B41/ROUNDUP(Model!$D$101,0))</f>
        <v>1</v>
      </c>
      <c r="F41" s="22">
        <f>IF(B41/ROUNDUP(Model!$D$101,0)&gt;1,0,1/ROUNDUP(Model!$D$101,0)*Model!$D$86*1000000000)</f>
        <v>0</v>
      </c>
      <c r="G41" s="22">
        <f>IF(B41/ROUNDUP(Model!$D$101,0)&gt;=1,Model!$D$92,B41/ROUNDUP(Model!$D$101,0)*Model!$D$92)*1000000</f>
        <v>7219765118.9326973</v>
      </c>
      <c r="H41" s="24">
        <f>(F41+G41)/POWER(1+Model!$D$94,(B41-1))</f>
        <v>3368073711.362905</v>
      </c>
      <c r="I41" s="39">
        <f t="shared" si="12"/>
        <v>95564350181.094727</v>
      </c>
      <c r="J41" s="12">
        <f>ROUNDUP(B41/Model!$D$31,0)</f>
        <v>5</v>
      </c>
      <c r="K41" s="12" t="b">
        <f>IF(MOD(B41,Model!$D$62)=0,TRUE,FALSE)</f>
        <v>0</v>
      </c>
      <c r="L41" s="12">
        <f t="shared" si="9"/>
        <v>3</v>
      </c>
      <c r="M41" s="18">
        <f>Model!$D$27*POWER(1+Model!$D$32,L41-1)</f>
        <v>18900</v>
      </c>
      <c r="N41" s="61">
        <f>M41*E41*Model!$D$34/1000000</f>
        <v>9895.2879581151828</v>
      </c>
      <c r="O41" s="61">
        <f t="shared" si="10"/>
        <v>103.54580907381867</v>
      </c>
      <c r="Q41" s="30">
        <f>IF(B41/ROUNDUP(Model!$K$101,0)&gt;=1,1,B41/ROUNDUP(Model!$K$101,0))</f>
        <v>1</v>
      </c>
      <c r="R41" s="22">
        <f>IF(B41/ROUNDUP(Model!$K$101,0)&gt;1,0,1/ROUNDUP(Model!$K$101,0)*Model!$K$86*1000000000)</f>
        <v>0</v>
      </c>
      <c r="S41" s="22">
        <f>IF(B41/ROUNDUP(Model!$K$101,0)&gt;=1,Model!$K$92,B41/ROUNDUP(Model!$K$101,0)*Model!$K$92)*1000000</f>
        <v>6562620783.6242962</v>
      </c>
      <c r="T41" s="24">
        <f>(R41+S41)/POWER(1+Model!$K$94,(B41-1))</f>
        <v>3061511029.0785165</v>
      </c>
      <c r="U41" s="39">
        <f t="shared" si="13"/>
        <v>116942619881.03532</v>
      </c>
      <c r="V41" s="12">
        <f>ROUNDUP(B41/Model!$K$30,0)</f>
        <v>5</v>
      </c>
      <c r="W41" s="12" t="b">
        <f>IF(MOD(B41,Model!$K$71)=0,TRUE,FALSE)</f>
        <v>0</v>
      </c>
      <c r="X41" s="12">
        <f t="shared" si="11"/>
        <v>3</v>
      </c>
      <c r="Y41" s="18">
        <f>Model!$K$27*POWER(1+Model!$K$31,X41-1)</f>
        <v>18900</v>
      </c>
      <c r="Z41" s="61">
        <f>Y41*Q41*Model!$K$34/1000000</f>
        <v>9895.2879581151828</v>
      </c>
      <c r="AA41" s="61">
        <f t="shared" si="7"/>
        <v>84.616609138580699</v>
      </c>
      <c r="AB41" s="1"/>
      <c r="AC41" s="30">
        <f t="shared" si="8"/>
        <v>-0.18280990901083394</v>
      </c>
    </row>
    <row r="42" spans="2:29" x14ac:dyDescent="0.25">
      <c r="B42" s="12">
        <v>10</v>
      </c>
      <c r="C42" s="12">
        <v>2040</v>
      </c>
      <c r="D42" s="1"/>
      <c r="E42" s="30">
        <f>IF(B42/ROUNDUP(Model!$D$101,0)&gt;=1,1,B42/ROUNDUP(Model!$D$101,0))</f>
        <v>1</v>
      </c>
      <c r="F42" s="22">
        <f>IF(B42/ROUNDUP(Model!$D$101,0)&gt;1,0,1/ROUNDUP(Model!$D$101,0)*Model!$D$86*1000000000)</f>
        <v>0</v>
      </c>
      <c r="G42" s="22">
        <f>IF(B42/ROUNDUP(Model!$D$101,0)&gt;=1,Model!$D$92,B42/ROUNDUP(Model!$D$101,0)*Model!$D$92)*1000000</f>
        <v>7219765118.9326973</v>
      </c>
      <c r="H42" s="24">
        <f>(F42+G42)/POWER(1+Model!$D$94,(B42-1))</f>
        <v>3061885192.1480956</v>
      </c>
      <c r="I42" s="39">
        <f t="shared" si="12"/>
        <v>98626235373.242828</v>
      </c>
      <c r="J42" s="12">
        <f>ROUNDUP(B42/Model!$D$31,0)</f>
        <v>5</v>
      </c>
      <c r="K42" s="12" t="b">
        <f>IF(MOD(B42,Model!$D$62)=0,TRUE,FALSE)</f>
        <v>1</v>
      </c>
      <c r="L42" s="12">
        <f t="shared" si="9"/>
        <v>5</v>
      </c>
      <c r="M42" s="18">
        <f>Model!$D$27*POWER(1+Model!$D$32,L42-1)</f>
        <v>42525</v>
      </c>
      <c r="N42" s="61">
        <f>M42*E42*Model!$D$34/1000000</f>
        <v>22264.397905759164</v>
      </c>
      <c r="O42" s="61">
        <f t="shared" si="10"/>
        <v>225.7451865773989</v>
      </c>
      <c r="Q42" s="30">
        <f>IF(B42/ROUNDUP(Model!$K$101,0)&gt;=1,1,B42/ROUNDUP(Model!$K$101,0))</f>
        <v>1</v>
      </c>
      <c r="R42" s="22">
        <f>IF(B42/ROUNDUP(Model!$K$101,0)&gt;1,0,1/ROUNDUP(Model!$K$101,0)*Model!$K$86*1000000000)</f>
        <v>0</v>
      </c>
      <c r="S42" s="22">
        <f>IF(B42/ROUNDUP(Model!$K$101,0)&gt;=1,Model!$K$92,B42/ROUNDUP(Model!$K$101,0)*Model!$K$92)*1000000</f>
        <v>6562620783.6242962</v>
      </c>
      <c r="T42" s="24">
        <f>(R42+S42)/POWER(1+Model!$K$94,(B42-1))</f>
        <v>2783191844.6168332</v>
      </c>
      <c r="U42" s="39">
        <f t="shared" si="13"/>
        <v>119725811725.65216</v>
      </c>
      <c r="V42" s="12">
        <f>ROUNDUP(B42/Model!$K$30,0)</f>
        <v>5</v>
      </c>
      <c r="W42" s="12" t="b">
        <f>IF(MOD(B42,Model!$K$71)=0,TRUE,FALSE)</f>
        <v>1</v>
      </c>
      <c r="X42" s="12">
        <f t="shared" si="11"/>
        <v>5</v>
      </c>
      <c r="Y42" s="18">
        <f>Model!$K$27*POWER(1+Model!$K$31,X42-1)</f>
        <v>42525</v>
      </c>
      <c r="Z42" s="61">
        <f>Y42*Q42*Model!$K$34/1000000</f>
        <v>22264.397905759164</v>
      </c>
      <c r="AA42" s="61">
        <f t="shared" si="7"/>
        <v>185.96155319270096</v>
      </c>
      <c r="AB42" s="1"/>
      <c r="AC42" s="30">
        <f t="shared" si="8"/>
        <v>-0.17623247692618127</v>
      </c>
    </row>
    <row r="43" spans="2:29" x14ac:dyDescent="0.25">
      <c r="B43" s="12">
        <v>11</v>
      </c>
      <c r="C43" s="12">
        <v>2041</v>
      </c>
      <c r="D43" s="1"/>
      <c r="E43" s="30">
        <f>IF(B43/ROUNDUP(Model!$D$101,0)&gt;=1,1,B43/ROUNDUP(Model!$D$101,0))</f>
        <v>1</v>
      </c>
      <c r="F43" s="22">
        <f>IF(B43/ROUNDUP(Model!$D$101,0)&gt;1,0,1/ROUNDUP(Model!$D$101,0)*Model!$D$86*1000000000)</f>
        <v>0</v>
      </c>
      <c r="G43" s="22">
        <f>IF(B43/ROUNDUP(Model!$D$101,0)&gt;=1,Model!$D$92,B43/ROUNDUP(Model!$D$101,0)*Model!$D$92)*1000000</f>
        <v>7219765118.9326973</v>
      </c>
      <c r="H43" s="24">
        <f>(F43+G43)/POWER(1+Model!$D$94,(B43-1))</f>
        <v>2783531992.8619046</v>
      </c>
      <c r="I43" s="39">
        <f t="shared" si="12"/>
        <v>101409767366.10474</v>
      </c>
      <c r="J43" s="12">
        <f>ROUNDUP(B43/Model!$D$31,0)</f>
        <v>6</v>
      </c>
      <c r="K43" s="12" t="b">
        <f>IF(MOD(B43,Model!$D$62)=0,TRUE,FALSE)</f>
        <v>0</v>
      </c>
      <c r="L43" s="12">
        <f t="shared" si="9"/>
        <v>5</v>
      </c>
      <c r="M43" s="18">
        <f>Model!$D$27*POWER(1+Model!$D$32,L43-1)</f>
        <v>42525</v>
      </c>
      <c r="N43" s="61">
        <f>M43*E43*Model!$D$34/1000000</f>
        <v>22264.397905759164</v>
      </c>
      <c r="O43" s="61">
        <f t="shared" si="10"/>
        <v>219.54885100348659</v>
      </c>
      <c r="Q43" s="30">
        <f>IF(B43/ROUNDUP(Model!$K$101,0)&gt;=1,1,B43/ROUNDUP(Model!$K$101,0))</f>
        <v>1</v>
      </c>
      <c r="R43" s="22">
        <f>IF(B43/ROUNDUP(Model!$K$101,0)&gt;1,0,1/ROUNDUP(Model!$K$101,0)*Model!$K$86*1000000000)</f>
        <v>0</v>
      </c>
      <c r="S43" s="22">
        <f>IF(B43/ROUNDUP(Model!$K$101,0)&gt;=1,Model!$K$92,B43/ROUNDUP(Model!$K$101,0)*Model!$K$92)*1000000</f>
        <v>6562620783.6242962</v>
      </c>
      <c r="T43" s="24">
        <f>(R43+S43)/POWER(1+Model!$K$94,(B43-1))</f>
        <v>2530174404.1971207</v>
      </c>
      <c r="U43" s="39">
        <f t="shared" si="13"/>
        <v>122255986129.84927</v>
      </c>
      <c r="V43" s="12">
        <f>ROUNDUP(B43/Model!$K$30,0)</f>
        <v>6</v>
      </c>
      <c r="W43" s="12" t="b">
        <f>IF(MOD(B43,Model!$K$71)=0,TRUE,FALSE)</f>
        <v>0</v>
      </c>
      <c r="X43" s="12">
        <f t="shared" si="11"/>
        <v>5</v>
      </c>
      <c r="Y43" s="18">
        <f>Model!$K$27*POWER(1+Model!$K$31,X43-1)</f>
        <v>42525</v>
      </c>
      <c r="Z43" s="61">
        <f>Y43*Q43*Model!$K$34/1000000</f>
        <v>22264.397905759164</v>
      </c>
      <c r="AA43" s="61">
        <f t="shared" si="7"/>
        <v>182.11294686308389</v>
      </c>
      <c r="AB43" s="1"/>
      <c r="AC43" s="30">
        <f t="shared" si="8"/>
        <v>-0.1705128674975766</v>
      </c>
    </row>
    <row r="44" spans="2:29" x14ac:dyDescent="0.25">
      <c r="B44" s="12">
        <v>12</v>
      </c>
      <c r="C44" s="12">
        <v>2042</v>
      </c>
      <c r="D44" s="1"/>
      <c r="E44" s="30">
        <f>IF(B44/ROUNDUP(Model!$D$101,0)&gt;=1,1,B44/ROUNDUP(Model!$D$101,0))</f>
        <v>1</v>
      </c>
      <c r="F44" s="22">
        <f>IF(B44/ROUNDUP(Model!$D$101,0)&gt;1,0,1/ROUNDUP(Model!$D$101,0)*Model!$D$86*1000000000)</f>
        <v>0</v>
      </c>
      <c r="G44" s="22">
        <f>IF(B44/ROUNDUP(Model!$D$101,0)&gt;=1,Model!$D$92,B44/ROUNDUP(Model!$D$101,0)*Model!$D$92)*1000000</f>
        <v>7219765118.9326973</v>
      </c>
      <c r="H44" s="24">
        <f>(F44+G44)/POWER(1+Model!$D$94,(B44-1))</f>
        <v>2530483629.8744583</v>
      </c>
      <c r="I44" s="39">
        <f t="shared" si="12"/>
        <v>103940250995.97919</v>
      </c>
      <c r="J44" s="12">
        <f>ROUNDUP(B44/Model!$D$31,0)</f>
        <v>6</v>
      </c>
      <c r="K44" s="12" t="b">
        <f>IF(MOD(B44,Model!$D$62)=0,TRUE,FALSE)</f>
        <v>0</v>
      </c>
      <c r="L44" s="12">
        <f t="shared" si="9"/>
        <v>5</v>
      </c>
      <c r="M44" s="18">
        <f>Model!$D$27*POWER(1+Model!$D$32,L44-1)</f>
        <v>42525</v>
      </c>
      <c r="N44" s="61">
        <f>M44*E44*Model!$D$34/1000000</f>
        <v>22264.397905759164</v>
      </c>
      <c r="O44" s="61">
        <f t="shared" si="10"/>
        <v>214.20381125133551</v>
      </c>
      <c r="Q44" s="30">
        <f>IF(B44/ROUNDUP(Model!$K$101,0)&gt;=1,1,B44/ROUNDUP(Model!$K$101,0))</f>
        <v>1</v>
      </c>
      <c r="R44" s="22">
        <f>IF(B44/ROUNDUP(Model!$K$101,0)&gt;1,0,1/ROUNDUP(Model!$K$101,0)*Model!$K$86*1000000000)</f>
        <v>0</v>
      </c>
      <c r="S44" s="22">
        <f>IF(B44/ROUNDUP(Model!$K$101,0)&gt;=1,Model!$K$92,B44/ROUNDUP(Model!$K$101,0)*Model!$K$92)*1000000</f>
        <v>6562620783.6242962</v>
      </c>
      <c r="T44" s="24">
        <f>(R44+S44)/POWER(1+Model!$K$94,(B44-1))</f>
        <v>2300158549.2701092</v>
      </c>
      <c r="U44" s="39">
        <f t="shared" si="13"/>
        <v>124556144679.11938</v>
      </c>
      <c r="V44" s="12">
        <f>ROUNDUP(B44/Model!$K$30,0)</f>
        <v>6</v>
      </c>
      <c r="W44" s="12" t="b">
        <f>IF(MOD(B44,Model!$K$71)=0,TRUE,FALSE)</f>
        <v>0</v>
      </c>
      <c r="X44" s="12">
        <f t="shared" si="11"/>
        <v>5</v>
      </c>
      <c r="Y44" s="18">
        <f>Model!$K$27*POWER(1+Model!$K$31,X44-1)</f>
        <v>42525</v>
      </c>
      <c r="Z44" s="61">
        <f>Y44*Q44*Model!$K$34/1000000</f>
        <v>22264.397905759164</v>
      </c>
      <c r="AA44" s="61">
        <f t="shared" si="7"/>
        <v>178.74989598559381</v>
      </c>
      <c r="AB44" s="1"/>
      <c r="AC44" s="30">
        <f t="shared" si="8"/>
        <v>-0.16551486669927612</v>
      </c>
    </row>
    <row r="45" spans="2:29" x14ac:dyDescent="0.25">
      <c r="B45" s="12">
        <v>13</v>
      </c>
      <c r="C45" s="12">
        <v>2043</v>
      </c>
      <c r="D45" s="1"/>
      <c r="E45" s="30">
        <f>IF(B45/ROUNDUP(Model!$D$101,0)&gt;=1,1,B45/ROUNDUP(Model!$D$101,0))</f>
        <v>1</v>
      </c>
      <c r="F45" s="22">
        <f>IF(B45/ROUNDUP(Model!$D$101,0)&gt;1,0,1/ROUNDUP(Model!$D$101,0)*Model!$D$86*1000000000)</f>
        <v>0</v>
      </c>
      <c r="G45" s="22">
        <f>IF(B45/ROUNDUP(Model!$D$101,0)&gt;=1,Model!$D$92,B45/ROUNDUP(Model!$D$101,0)*Model!$D$92)*1000000</f>
        <v>7219765118.9326973</v>
      </c>
      <c r="H45" s="24">
        <f>(F45+G45)/POWER(1+Model!$D$94,(B45-1))</f>
        <v>2300439663.5222349</v>
      </c>
      <c r="I45" s="39">
        <f t="shared" si="12"/>
        <v>106240690659.50142</v>
      </c>
      <c r="J45" s="12">
        <f>ROUNDUP(B45/Model!$D$31,0)</f>
        <v>7</v>
      </c>
      <c r="K45" s="12" t="b">
        <f>IF(MOD(B45,Model!$D$62)=0,TRUE,FALSE)</f>
        <v>0</v>
      </c>
      <c r="L45" s="12">
        <f t="shared" si="9"/>
        <v>5</v>
      </c>
      <c r="M45" s="18">
        <f>Model!$D$27*POWER(1+Model!$D$32,L45-1)</f>
        <v>42525</v>
      </c>
      <c r="N45" s="61">
        <f>M45*E45*Model!$D$34/1000000</f>
        <v>22264.397905759164</v>
      </c>
      <c r="O45" s="61">
        <f t="shared" si="10"/>
        <v>209.56563598702465</v>
      </c>
      <c r="Q45" s="30">
        <f>IF(B45/ROUNDUP(Model!$K$101,0)&gt;=1,1,B45/ROUNDUP(Model!$K$101,0))</f>
        <v>1</v>
      </c>
      <c r="R45" s="22">
        <f>IF(B45/ROUNDUP(Model!$K$101,0)&gt;1,0,1/ROUNDUP(Model!$K$101,0)*Model!$K$86*1000000000)</f>
        <v>0</v>
      </c>
      <c r="S45" s="22">
        <f>IF(B45/ROUNDUP(Model!$K$101,0)&gt;=1,Model!$K$92,B45/ROUNDUP(Model!$K$101,0)*Model!$K$92)*1000000</f>
        <v>6562620783.6242962</v>
      </c>
      <c r="T45" s="24">
        <f>(R45+S45)/POWER(1+Model!$K$94,(B45-1))</f>
        <v>2091053226.6091905</v>
      </c>
      <c r="U45" s="39">
        <f t="shared" si="13"/>
        <v>126647197905.72858</v>
      </c>
      <c r="V45" s="12">
        <f>ROUNDUP(B45/Model!$K$30,0)</f>
        <v>7</v>
      </c>
      <c r="W45" s="12" t="b">
        <f>IF(MOD(B45,Model!$K$71)=0,TRUE,FALSE)</f>
        <v>0</v>
      </c>
      <c r="X45" s="12">
        <f t="shared" si="11"/>
        <v>5</v>
      </c>
      <c r="Y45" s="18">
        <f>Model!$K$27*POWER(1+Model!$K$31,X45-1)</f>
        <v>42525</v>
      </c>
      <c r="Z45" s="61">
        <f>Y45*Q45*Model!$K$34/1000000</f>
        <v>22264.397905759164</v>
      </c>
      <c r="AA45" s="61">
        <f t="shared" si="7"/>
        <v>175.79858278690025</v>
      </c>
      <c r="AB45" s="1"/>
      <c r="AC45" s="30">
        <f t="shared" si="8"/>
        <v>-0.16112877018737506</v>
      </c>
    </row>
    <row r="46" spans="2:29" x14ac:dyDescent="0.25">
      <c r="B46" s="12">
        <v>14</v>
      </c>
      <c r="C46" s="12">
        <v>2044</v>
      </c>
      <c r="D46" s="1"/>
      <c r="E46" s="30">
        <f>IF(B46/ROUNDUP(Model!$D$101,0)&gt;=1,1,B46/ROUNDUP(Model!$D$101,0))</f>
        <v>1</v>
      </c>
      <c r="F46" s="22">
        <f>IF(B46/ROUNDUP(Model!$D$101,0)&gt;1,0,1/ROUNDUP(Model!$D$101,0)*Model!$D$86*1000000000)</f>
        <v>0</v>
      </c>
      <c r="G46" s="22">
        <f>IF(B46/ROUNDUP(Model!$D$101,0)&gt;=1,Model!$D$92,B46/ROUNDUP(Model!$D$101,0)*Model!$D$92)*1000000</f>
        <v>7219765118.9326973</v>
      </c>
      <c r="H46" s="24">
        <f>(F46+G46)/POWER(1+Model!$D$94,(B46-1))</f>
        <v>2091308785.0202136</v>
      </c>
      <c r="I46" s="39">
        <f t="shared" si="12"/>
        <v>108331999444.52164</v>
      </c>
      <c r="J46" s="12">
        <f>ROUNDUP(B46/Model!$D$31,0)</f>
        <v>7</v>
      </c>
      <c r="K46" s="12" t="b">
        <f>IF(MOD(B46,Model!$D$62)=0,TRUE,FALSE)</f>
        <v>0</v>
      </c>
      <c r="L46" s="12">
        <f t="shared" si="9"/>
        <v>5</v>
      </c>
      <c r="M46" s="18">
        <f>Model!$D$27*POWER(1+Model!$D$32,L46-1)</f>
        <v>42525</v>
      </c>
      <c r="N46" s="61">
        <f>M46*E46*Model!$D$34/1000000</f>
        <v>22264.397905759164</v>
      </c>
      <c r="O46" s="61">
        <f t="shared" si="10"/>
        <v>205.52004966142141</v>
      </c>
      <c r="Q46" s="30">
        <f>IF(B46/ROUNDUP(Model!$K$101,0)&gt;=1,1,B46/ROUNDUP(Model!$K$101,0))</f>
        <v>1</v>
      </c>
      <c r="R46" s="22">
        <f>IF(B46/ROUNDUP(Model!$K$101,0)&gt;1,0,1/ROUNDUP(Model!$K$101,0)*Model!$K$86*1000000000)</f>
        <v>0</v>
      </c>
      <c r="S46" s="22">
        <f>IF(B46/ROUNDUP(Model!$K$101,0)&gt;=1,Model!$K$92,B46/ROUNDUP(Model!$K$101,0)*Model!$K$92)*1000000</f>
        <v>6562620783.6242962</v>
      </c>
      <c r="T46" s="24">
        <f>(R46+S46)/POWER(1+Model!$K$94,(B46-1))</f>
        <v>1900957478.7356277</v>
      </c>
      <c r="U46" s="39">
        <f t="shared" si="13"/>
        <v>128548155384.4642</v>
      </c>
      <c r="V46" s="12">
        <f>ROUNDUP(B46/Model!$K$30,0)</f>
        <v>7</v>
      </c>
      <c r="W46" s="12" t="b">
        <f>IF(MOD(B46,Model!$K$71)=0,TRUE,FALSE)</f>
        <v>0</v>
      </c>
      <c r="X46" s="12">
        <f t="shared" si="11"/>
        <v>5</v>
      </c>
      <c r="Y46" s="18">
        <f>Model!$K$27*POWER(1+Model!$K$31,X46-1)</f>
        <v>42525</v>
      </c>
      <c r="Z46" s="61">
        <f>Y46*Q46*Model!$K$34/1000000</f>
        <v>22264.397905759164</v>
      </c>
      <c r="AA46" s="61">
        <f t="shared" si="7"/>
        <v>173.19889063495614</v>
      </c>
      <c r="AB46" s="1"/>
      <c r="AC46" s="30">
        <f t="shared" si="8"/>
        <v>-0.15726523558023614</v>
      </c>
    </row>
    <row r="47" spans="2:29" x14ac:dyDescent="0.25">
      <c r="B47" s="12">
        <v>15</v>
      </c>
      <c r="C47" s="12">
        <v>2045</v>
      </c>
      <c r="D47" s="1"/>
      <c r="E47" s="30">
        <f>IF(B47/ROUNDUP(Model!$D$101,0)&gt;=1,1,B47/ROUNDUP(Model!$D$101,0))</f>
        <v>1</v>
      </c>
      <c r="F47" s="22">
        <f>IF(B47/ROUNDUP(Model!$D$101,0)&gt;1,0,1/ROUNDUP(Model!$D$101,0)*Model!$D$86*1000000000)</f>
        <v>0</v>
      </c>
      <c r="G47" s="22">
        <f>IF(B47/ROUNDUP(Model!$D$101,0)&gt;=1,Model!$D$92,B47/ROUNDUP(Model!$D$101,0)*Model!$D$92)*1000000</f>
        <v>7219765118.9326973</v>
      </c>
      <c r="H47" s="24">
        <f>(F47+G47)/POWER(1+Model!$D$94,(B47-1))</f>
        <v>1901189804.5638301</v>
      </c>
      <c r="I47" s="39">
        <f t="shared" si="12"/>
        <v>110233189249.08546</v>
      </c>
      <c r="J47" s="12">
        <f>ROUNDUP(B47/Model!$D$31,0)</f>
        <v>8</v>
      </c>
      <c r="K47" s="12" t="b">
        <f>IF(MOD(B47,Model!$D$62)=0,TRUE,FALSE)</f>
        <v>1</v>
      </c>
      <c r="L47" s="12">
        <f t="shared" si="9"/>
        <v>8</v>
      </c>
      <c r="M47" s="18">
        <f>Model!$D$27*POWER(1+Model!$D$32,L47-1)</f>
        <v>143521.875</v>
      </c>
      <c r="N47" s="61">
        <f>M47*E47*Model!$D$34/1000000</f>
        <v>75142.342931937164</v>
      </c>
      <c r="O47" s="61">
        <f t="shared" si="10"/>
        <v>681.66714075688935</v>
      </c>
      <c r="Q47" s="30">
        <f>IF(B47/ROUNDUP(Model!$K$101,0)&gt;=1,1,B47/ROUNDUP(Model!$K$101,0))</f>
        <v>1</v>
      </c>
      <c r="R47" s="22">
        <f>IF(B47/ROUNDUP(Model!$K$101,0)&gt;1,0,1/ROUNDUP(Model!$K$101,0)*Model!$K$86*1000000000)</f>
        <v>0</v>
      </c>
      <c r="S47" s="22">
        <f>IF(B47/ROUNDUP(Model!$K$101,0)&gt;=1,Model!$K$92,B47/ROUNDUP(Model!$K$101,0)*Model!$K$92)*1000000</f>
        <v>6562620783.6242962</v>
      </c>
      <c r="T47" s="24">
        <f>(R47+S47)/POWER(1+Model!$K$94,(B47-1))</f>
        <v>1728143162.4869339</v>
      </c>
      <c r="U47" s="39">
        <f t="shared" si="13"/>
        <v>130276298546.95114</v>
      </c>
      <c r="V47" s="12">
        <f>ROUNDUP(B47/Model!$K$30,0)</f>
        <v>8</v>
      </c>
      <c r="W47" s="12" t="b">
        <f>IF(MOD(B47,Model!$K$71)=0,TRUE,FALSE)</f>
        <v>1</v>
      </c>
      <c r="X47" s="12">
        <f t="shared" si="11"/>
        <v>8</v>
      </c>
      <c r="Y47" s="18">
        <f>Model!$K$27*POWER(1+Model!$K$31,X47-1)</f>
        <v>143521.875</v>
      </c>
      <c r="Z47" s="61">
        <f>Y47*Q47*Model!$K$34/1000000</f>
        <v>75142.342931937164</v>
      </c>
      <c r="AA47" s="61">
        <f t="shared" si="7"/>
        <v>576.79212389394149</v>
      </c>
      <c r="AB47" s="1"/>
      <c r="AC47" s="30">
        <f t="shared" si="8"/>
        <v>-0.15385077348234777</v>
      </c>
    </row>
    <row r="48" spans="2:29" x14ac:dyDescent="0.25">
      <c r="B48" s="12">
        <v>16</v>
      </c>
      <c r="C48" s="12">
        <v>2046</v>
      </c>
      <c r="D48" s="1"/>
      <c r="E48" s="30">
        <f>IF(B48/ROUNDUP(Model!$D$101,0)&gt;=1,1,B48/ROUNDUP(Model!$D$101,0))</f>
        <v>1</v>
      </c>
      <c r="F48" s="22">
        <f>IF(B48/ROUNDUP(Model!$D$101,0)&gt;1,0,1/ROUNDUP(Model!$D$101,0)*Model!$D$86*1000000000)</f>
        <v>0</v>
      </c>
      <c r="G48" s="22">
        <f>IF(B48/ROUNDUP(Model!$D$101,0)&gt;=1,Model!$D$92,B48/ROUNDUP(Model!$D$101,0)*Model!$D$92)*1000000</f>
        <v>7219765118.9326973</v>
      </c>
      <c r="H48" s="24">
        <f>(F48+G48)/POWER(1+Model!$D$94,(B48-1))</f>
        <v>1728354367.7853</v>
      </c>
      <c r="I48" s="39">
        <f t="shared" si="12"/>
        <v>111961543616.87076</v>
      </c>
      <c r="J48" s="12">
        <f>ROUNDUP(B48/Model!$D$31,0)</f>
        <v>8</v>
      </c>
      <c r="K48" s="12" t="b">
        <f>IF(MOD(B48,Model!$D$62)=0,TRUE,FALSE)</f>
        <v>0</v>
      </c>
      <c r="L48" s="12">
        <f t="shared" si="9"/>
        <v>8</v>
      </c>
      <c r="M48" s="18">
        <f>Model!$D$27*POWER(1+Model!$D$32,L48-1)</f>
        <v>143521.875</v>
      </c>
      <c r="N48" s="61">
        <f>M48*E48*Model!$D$34/1000000</f>
        <v>75142.342931937164</v>
      </c>
      <c r="O48" s="61">
        <f t="shared" si="10"/>
        <v>671.14422063590109</v>
      </c>
      <c r="Q48" s="30">
        <f>IF(B48/ROUNDUP(Model!$K$101,0)&gt;=1,1,B48/ROUNDUP(Model!$K$101,0))</f>
        <v>1</v>
      </c>
      <c r="R48" s="22">
        <f>IF(B48/ROUNDUP(Model!$K$101,0)&gt;1,0,1/ROUNDUP(Model!$K$101,0)*Model!$K$86*1000000000)</f>
        <v>0</v>
      </c>
      <c r="S48" s="22">
        <f>IF(B48/ROUNDUP(Model!$K$101,0)&gt;=1,Model!$K$92,B48/ROUNDUP(Model!$K$101,0)*Model!$K$92)*1000000</f>
        <v>6562620783.6242962</v>
      </c>
      <c r="T48" s="24">
        <f>(R48+S48)/POWER(1+Model!$K$94,(B48-1))</f>
        <v>1571039238.6244853</v>
      </c>
      <c r="U48" s="39">
        <f t="shared" si="13"/>
        <v>131847337785.57562</v>
      </c>
      <c r="V48" s="12">
        <f>ROUNDUP(B48/Model!$K$30,0)</f>
        <v>8</v>
      </c>
      <c r="W48" s="12" t="b">
        <f>IF(MOD(B48,Model!$K$71)=0,TRUE,FALSE)</f>
        <v>0</v>
      </c>
      <c r="X48" s="12">
        <f t="shared" si="11"/>
        <v>8</v>
      </c>
      <c r="Y48" s="18">
        <f>Model!$K$27*POWER(1+Model!$K$31,X48-1)</f>
        <v>143521.875</v>
      </c>
      <c r="Z48" s="61">
        <f>Y48*Q48*Model!$K$34/1000000</f>
        <v>75142.342931937164</v>
      </c>
      <c r="AA48" s="61">
        <f t="shared" si="7"/>
        <v>569.91930359748142</v>
      </c>
      <c r="AB48" s="1"/>
      <c r="AC48" s="30">
        <f t="shared" si="8"/>
        <v>-0.15082438904489154</v>
      </c>
    </row>
    <row r="49" spans="2:29" x14ac:dyDescent="0.25">
      <c r="B49" s="12">
        <v>17</v>
      </c>
      <c r="C49" s="12">
        <v>2047</v>
      </c>
      <c r="D49" s="1"/>
      <c r="E49" s="30">
        <f>IF(B49/ROUNDUP(Model!$D$101,0)&gt;=1,1,B49/ROUNDUP(Model!$D$101,0))</f>
        <v>1</v>
      </c>
      <c r="F49" s="22">
        <f>IF(B49/ROUNDUP(Model!$D$101,0)&gt;1,0,1/ROUNDUP(Model!$D$101,0)*Model!$D$86*1000000000)</f>
        <v>0</v>
      </c>
      <c r="G49" s="22">
        <f>IF(B49/ROUNDUP(Model!$D$101,0)&gt;=1,Model!$D$92,B49/ROUNDUP(Model!$D$101,0)*Model!$D$92)*1000000</f>
        <v>7219765118.9326973</v>
      </c>
      <c r="H49" s="24">
        <f>(F49+G49)/POWER(1+Model!$D$94,(B49-1))</f>
        <v>1571231243.4411819</v>
      </c>
      <c r="I49" s="39">
        <f t="shared" si="12"/>
        <v>113532774860.31194</v>
      </c>
      <c r="J49" s="12">
        <f>ROUNDUP(B49/Model!$D$31,0)</f>
        <v>9</v>
      </c>
      <c r="K49" s="12" t="b">
        <f>IF(MOD(B49,Model!$D$62)=0,TRUE,FALSE)</f>
        <v>0</v>
      </c>
      <c r="L49" s="12">
        <f t="shared" si="9"/>
        <v>8</v>
      </c>
      <c r="M49" s="18">
        <f>Model!$D$27*POWER(1+Model!$D$32,L49-1)</f>
        <v>143521.875</v>
      </c>
      <c r="N49" s="61">
        <f>M49*E49*Model!$D$34/1000000</f>
        <v>75142.342931937164</v>
      </c>
      <c r="O49" s="61">
        <f t="shared" si="10"/>
        <v>661.85595326451369</v>
      </c>
      <c r="Q49" s="30">
        <f>IF(B49/ROUNDUP(Model!$K$101,0)&gt;=1,1,B49/ROUNDUP(Model!$K$101,0))</f>
        <v>1</v>
      </c>
      <c r="R49" s="22">
        <f>IF(B49/ROUNDUP(Model!$K$101,0)&gt;1,0,1/ROUNDUP(Model!$K$101,0)*Model!$K$86*1000000000)</f>
        <v>0</v>
      </c>
      <c r="S49" s="22">
        <f>IF(B49/ROUNDUP(Model!$K$101,0)&gt;=1,Model!$K$92,B49/ROUNDUP(Model!$K$101,0)*Model!$K$92)*1000000</f>
        <v>6562620783.6242962</v>
      </c>
      <c r="T49" s="24">
        <f>(R49+S49)/POWER(1+Model!$K$94,(B49-1))</f>
        <v>1428217489.658623</v>
      </c>
      <c r="U49" s="39">
        <f t="shared" si="13"/>
        <v>133275555275.23425</v>
      </c>
      <c r="V49" s="12">
        <f>ROUNDUP(B49/Model!$K$30,0)</f>
        <v>9</v>
      </c>
      <c r="W49" s="12" t="b">
        <f>IF(MOD(B49,Model!$K$71)=0,TRUE,FALSE)</f>
        <v>0</v>
      </c>
      <c r="X49" s="12">
        <f t="shared" si="11"/>
        <v>8</v>
      </c>
      <c r="Y49" s="18">
        <f>Model!$K$27*POWER(1+Model!$K$31,X49-1)</f>
        <v>143521.875</v>
      </c>
      <c r="Z49" s="61">
        <f>Y49*Q49*Model!$K$34/1000000</f>
        <v>75142.342931937164</v>
      </c>
      <c r="AA49" s="61">
        <f t="shared" si="7"/>
        <v>563.81189166127899</v>
      </c>
      <c r="AB49" s="1"/>
      <c r="AC49" s="30">
        <f t="shared" si="8"/>
        <v>-0.14813504527631097</v>
      </c>
    </row>
    <row r="50" spans="2:29" x14ac:dyDescent="0.25">
      <c r="B50" s="12">
        <v>18</v>
      </c>
      <c r="C50" s="12">
        <v>2048</v>
      </c>
      <c r="D50" s="1"/>
      <c r="E50" s="30">
        <f>IF(B50/ROUNDUP(Model!$D$101,0)&gt;=1,1,B50/ROUNDUP(Model!$D$101,0))</f>
        <v>1</v>
      </c>
      <c r="F50" s="22">
        <f>IF(B50/ROUNDUP(Model!$D$101,0)&gt;1,0,1/ROUNDUP(Model!$D$101,0)*Model!$D$86*1000000000)</f>
        <v>0</v>
      </c>
      <c r="G50" s="22">
        <f>IF(B50/ROUNDUP(Model!$D$101,0)&gt;=1,Model!$D$92,B50/ROUNDUP(Model!$D$101,0)*Model!$D$92)*1000000</f>
        <v>7219765118.9326973</v>
      </c>
      <c r="H50" s="24">
        <f>(F50+G50)/POWER(1+Model!$D$94,(B50-1))</f>
        <v>1428392039.4919834</v>
      </c>
      <c r="I50" s="39">
        <f t="shared" si="12"/>
        <v>114961166899.80392</v>
      </c>
      <c r="J50" s="12">
        <f>ROUNDUP(B50/Model!$D$31,0)</f>
        <v>9</v>
      </c>
      <c r="K50" s="12" t="b">
        <f>IF(MOD(B50,Model!$D$62)=0,TRUE,FALSE)</f>
        <v>0</v>
      </c>
      <c r="L50" s="12">
        <f t="shared" si="9"/>
        <v>8</v>
      </c>
      <c r="M50" s="18">
        <f>Model!$D$27*POWER(1+Model!$D$32,L50-1)</f>
        <v>143521.875</v>
      </c>
      <c r="N50" s="61">
        <f>M50*E50*Model!$D$34/1000000</f>
        <v>75142.342931937164</v>
      </c>
      <c r="O50" s="61">
        <f t="shared" si="10"/>
        <v>653.63239568913355</v>
      </c>
      <c r="Q50" s="30">
        <f>IF(B50/ROUNDUP(Model!$K$101,0)&gt;=1,1,B50/ROUNDUP(Model!$K$101,0))</f>
        <v>1</v>
      </c>
      <c r="R50" s="22">
        <f>IF(B50/ROUNDUP(Model!$K$101,0)&gt;1,0,1/ROUNDUP(Model!$K$101,0)*Model!$K$86*1000000000)</f>
        <v>0</v>
      </c>
      <c r="S50" s="22">
        <f>IF(B50/ROUNDUP(Model!$K$101,0)&gt;=1,Model!$K$92,B50/ROUNDUP(Model!$K$101,0)*Model!$K$92)*1000000</f>
        <v>6562620783.6242962</v>
      </c>
      <c r="T50" s="24">
        <f>(R50+S50)/POWER(1+Model!$K$94,(B50-1))</f>
        <v>1298379536.0532935</v>
      </c>
      <c r="U50" s="39">
        <f t="shared" si="13"/>
        <v>134573934811.28755</v>
      </c>
      <c r="V50" s="12">
        <f>ROUNDUP(B50/Model!$K$30,0)</f>
        <v>9</v>
      </c>
      <c r="W50" s="12" t="b">
        <f>IF(MOD(B50,Model!$K$71)=0,TRUE,FALSE)</f>
        <v>0</v>
      </c>
      <c r="X50" s="12">
        <f t="shared" si="11"/>
        <v>8</v>
      </c>
      <c r="Y50" s="18">
        <f>Model!$K$27*POWER(1+Model!$K$31,X50-1)</f>
        <v>143521.875</v>
      </c>
      <c r="Z50" s="61">
        <f>Y50*Q50*Model!$K$34/1000000</f>
        <v>75142.342931937164</v>
      </c>
      <c r="AA50" s="61">
        <f t="shared" si="7"/>
        <v>558.37219174210031</v>
      </c>
      <c r="AB50" s="1"/>
      <c r="AC50" s="30">
        <f t="shared" si="8"/>
        <v>-0.14573972247290329</v>
      </c>
    </row>
    <row r="51" spans="2:29" x14ac:dyDescent="0.25">
      <c r="B51" s="12">
        <v>19</v>
      </c>
      <c r="C51" s="12">
        <v>2049</v>
      </c>
      <c r="D51" s="1"/>
      <c r="E51" s="30">
        <f>IF(B51/ROUNDUP(Model!$D$101,0)&gt;=1,1,B51/ROUNDUP(Model!$D$101,0))</f>
        <v>1</v>
      </c>
      <c r="F51" s="22">
        <f>IF(B51/ROUNDUP(Model!$D$101,0)&gt;1,0,1/ROUNDUP(Model!$D$101,0)*Model!$D$86*1000000000)</f>
        <v>0</v>
      </c>
      <c r="G51" s="22">
        <f>IF(B51/ROUNDUP(Model!$D$101,0)&gt;=1,Model!$D$92,B51/ROUNDUP(Model!$D$101,0)*Model!$D$92)*1000000</f>
        <v>7219765118.9326973</v>
      </c>
      <c r="H51" s="24">
        <f>(F51+G51)/POWER(1+Model!$D$94,(B51-1))</f>
        <v>1298538217.719985</v>
      </c>
      <c r="I51" s="39">
        <f t="shared" si="12"/>
        <v>116259705117.52391</v>
      </c>
      <c r="J51" s="12">
        <f>ROUNDUP(B51/Model!$D$31,0)</f>
        <v>10</v>
      </c>
      <c r="K51" s="12" t="b">
        <f>IF(MOD(B51,Model!$D$62)=0,TRUE,FALSE)</f>
        <v>0</v>
      </c>
      <c r="L51" s="12">
        <f t="shared" si="9"/>
        <v>8</v>
      </c>
      <c r="M51" s="18">
        <f>Model!$D$27*POWER(1+Model!$D$32,L51-1)</f>
        <v>143521.875</v>
      </c>
      <c r="N51" s="61">
        <f>M51*E51*Model!$D$34/1000000</f>
        <v>75142.342931937164</v>
      </c>
      <c r="O51" s="61">
        <f t="shared" si="10"/>
        <v>646.33178671817313</v>
      </c>
      <c r="Q51" s="30">
        <f>IF(B51/ROUNDUP(Model!$K$101,0)&gt;=1,1,B51/ROUNDUP(Model!$K$101,0))</f>
        <v>1</v>
      </c>
      <c r="R51" s="22">
        <f>IF(B51/ROUNDUP(Model!$K$101,0)&gt;1,0,1/ROUNDUP(Model!$K$101,0)*Model!$K$86*1000000000)</f>
        <v>0</v>
      </c>
      <c r="S51" s="22">
        <f>IF(B51/ROUNDUP(Model!$K$101,0)&gt;=1,Model!$K$92,B51/ROUNDUP(Model!$K$101,0)*Model!$K$92)*1000000</f>
        <v>6562620783.6242962</v>
      </c>
      <c r="T51" s="24">
        <f>(R51+S51)/POWER(1+Model!$K$94,(B51-1))</f>
        <v>1180345032.7757213</v>
      </c>
      <c r="U51" s="39">
        <f t="shared" si="13"/>
        <v>135754279844.06328</v>
      </c>
      <c r="V51" s="12">
        <f>ROUNDUP(B51/Model!$K$30,0)</f>
        <v>10</v>
      </c>
      <c r="W51" s="12" t="b">
        <f>IF(MOD(B51,Model!$K$71)=0,TRUE,FALSE)</f>
        <v>0</v>
      </c>
      <c r="X51" s="12">
        <f t="shared" si="11"/>
        <v>8</v>
      </c>
      <c r="Y51" s="18">
        <f>Model!$K$27*POWER(1+Model!$K$31,X51-1)</f>
        <v>143521.875</v>
      </c>
      <c r="Z51" s="61">
        <f>Y51*Q51*Model!$K$34/1000000</f>
        <v>75142.342931937164</v>
      </c>
      <c r="AA51" s="61">
        <f t="shared" si="7"/>
        <v>553.51730360361989</v>
      </c>
      <c r="AB51" s="1"/>
      <c r="AC51" s="30">
        <f t="shared" si="8"/>
        <v>-0.14360191626320881</v>
      </c>
    </row>
    <row r="52" spans="2:29" x14ac:dyDescent="0.25">
      <c r="B52" s="12">
        <v>20</v>
      </c>
      <c r="C52" s="12">
        <v>2050</v>
      </c>
      <c r="D52" s="1"/>
      <c r="E52" s="30">
        <f>IF(B52/ROUNDUP(Model!$D$101,0)&gt;=1,1,B52/ROUNDUP(Model!$D$101,0))</f>
        <v>1</v>
      </c>
      <c r="F52" s="22">
        <f>IF(B52/ROUNDUP(Model!$D$101,0)&gt;1,0,1/ROUNDUP(Model!$D$101,0)*Model!$D$86*1000000000)</f>
        <v>0</v>
      </c>
      <c r="G52" s="22">
        <f>IF(B52/ROUNDUP(Model!$D$101,0)&gt;=1,Model!$D$92,B52/ROUNDUP(Model!$D$101,0)*Model!$D$92)*1000000</f>
        <v>7219765118.9326973</v>
      </c>
      <c r="H52" s="24">
        <f>(F52+G52)/POWER(1+Model!$D$94,(B52-1))</f>
        <v>1180489288.8363497</v>
      </c>
      <c r="I52" s="39">
        <f t="shared" si="12"/>
        <v>117440194406.36026</v>
      </c>
      <c r="J52" s="12">
        <f>ROUNDUP(B52/Model!$D$31,0)</f>
        <v>10</v>
      </c>
      <c r="K52" s="12" t="b">
        <f>IF(MOD(B52,Model!$D$62)=0,TRUE,FALSE)</f>
        <v>1</v>
      </c>
      <c r="L52" s="12">
        <f t="shared" si="9"/>
        <v>10</v>
      </c>
      <c r="M52" s="18">
        <f>Model!$D$27*POWER(1+Model!$D$32,L52-1)</f>
        <v>322924.21875</v>
      </c>
      <c r="N52" s="61">
        <f>M52*E52*Model!$D$34/1000000</f>
        <v>169070.27159685866</v>
      </c>
      <c r="O52" s="61">
        <f t="shared" si="10"/>
        <v>1439.628676123021</v>
      </c>
      <c r="Q52" s="30">
        <f>IF(B52/ROUNDUP(Model!$K$101,0)&gt;=1,1,B52/ROUNDUP(Model!$K$101,0))</f>
        <v>1</v>
      </c>
      <c r="R52" s="22">
        <f>IF(B52/ROUNDUP(Model!$K$101,0)&gt;1,0,1/ROUNDUP(Model!$K$101,0)*Model!$K$86*1000000000)</f>
        <v>0</v>
      </c>
      <c r="S52" s="22">
        <f>IF(B52/ROUNDUP(Model!$K$101,0)&gt;=1,Model!$K$92,B52/ROUNDUP(Model!$K$101,0)*Model!$K$92)*1000000</f>
        <v>6562620783.6242962</v>
      </c>
      <c r="T52" s="24">
        <f>(R52+S52)/POWER(1+Model!$K$94,(B52-1))</f>
        <v>1073040938.8870192</v>
      </c>
      <c r="U52" s="39">
        <f t="shared" si="13"/>
        <v>136827320782.9503</v>
      </c>
      <c r="V52" s="12">
        <f>ROUNDUP(B52/Model!$K$30,0)</f>
        <v>10</v>
      </c>
      <c r="W52" s="12" t="b">
        <f>IF(MOD(B52,Model!$K$71)=0,TRUE,FALSE)</f>
        <v>1</v>
      </c>
      <c r="X52" s="12">
        <f t="shared" si="11"/>
        <v>10</v>
      </c>
      <c r="Y52" s="18">
        <f>Model!$K$27*POWER(1+Model!$K$31,X52-1)</f>
        <v>322924.21875</v>
      </c>
      <c r="Z52" s="61">
        <f>Y52*Q52*Model!$K$34/1000000</f>
        <v>169070.27159685866</v>
      </c>
      <c r="AA52" s="61">
        <f t="shared" si="7"/>
        <v>1235.6470230463365</v>
      </c>
      <c r="AB52" s="1"/>
      <c r="AC52" s="30">
        <f t="shared" si="8"/>
        <v>-0.14169046258929455</v>
      </c>
    </row>
    <row r="54" spans="2:29" x14ac:dyDescent="0.25">
      <c r="B54" s="117" t="s">
        <v>737</v>
      </c>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row>
    <row r="55" spans="2:29" ht="15.75" thickBot="1" x14ac:dyDescent="0.3"/>
    <row r="56" spans="2:29" ht="15.75" thickBot="1" x14ac:dyDescent="0.3">
      <c r="E56" s="187" t="s">
        <v>72</v>
      </c>
      <c r="F56" s="188"/>
      <c r="G56" s="188"/>
      <c r="H56" s="188"/>
      <c r="I56" s="188"/>
      <c r="J56" s="188"/>
      <c r="K56" s="188"/>
      <c r="L56" s="188"/>
      <c r="M56" s="188"/>
      <c r="N56" s="188"/>
      <c r="O56" s="189"/>
      <c r="Q56" s="187" t="s">
        <v>73</v>
      </c>
      <c r="R56" s="188"/>
      <c r="S56" s="188"/>
      <c r="T56" s="188"/>
      <c r="U56" s="188"/>
      <c r="V56" s="188"/>
      <c r="W56" s="188"/>
      <c r="X56" s="188"/>
      <c r="Y56" s="188"/>
      <c r="Z56" s="188"/>
      <c r="AA56" s="189"/>
      <c r="AC56" s="62" t="s">
        <v>136</v>
      </c>
    </row>
    <row r="58" spans="2:29" ht="45" x14ac:dyDescent="0.25">
      <c r="B58" s="154" t="s">
        <v>826</v>
      </c>
      <c r="C58" s="154" t="s">
        <v>68</v>
      </c>
      <c r="D58" s="1"/>
      <c r="E58" s="154" t="s">
        <v>137</v>
      </c>
      <c r="F58" s="154" t="s">
        <v>69</v>
      </c>
      <c r="G58" s="154" t="s">
        <v>70</v>
      </c>
      <c r="H58" s="154" t="s">
        <v>74</v>
      </c>
      <c r="I58" s="154" t="s">
        <v>133</v>
      </c>
      <c r="J58" s="154" t="s">
        <v>128</v>
      </c>
      <c r="K58" s="154" t="s">
        <v>127</v>
      </c>
      <c r="L58" s="154" t="s">
        <v>129</v>
      </c>
      <c r="M58" s="154" t="s">
        <v>130</v>
      </c>
      <c r="N58" s="154" t="s">
        <v>131</v>
      </c>
      <c r="O58" s="154" t="s">
        <v>135</v>
      </c>
      <c r="Q58" s="154" t="s">
        <v>137</v>
      </c>
      <c r="R58" s="154" t="s">
        <v>69</v>
      </c>
      <c r="S58" s="154" t="s">
        <v>70</v>
      </c>
      <c r="T58" s="154" t="s">
        <v>74</v>
      </c>
      <c r="U58" s="154" t="s">
        <v>133</v>
      </c>
      <c r="V58" s="154" t="s">
        <v>128</v>
      </c>
      <c r="W58" s="154" t="s">
        <v>127</v>
      </c>
      <c r="X58" s="154" t="s">
        <v>129</v>
      </c>
      <c r="Y58" s="154" t="s">
        <v>130</v>
      </c>
      <c r="Z58" s="154" t="s">
        <v>131</v>
      </c>
      <c r="AA58" s="154" t="s">
        <v>135</v>
      </c>
      <c r="AB58" s="1"/>
      <c r="AC58" s="155" t="s">
        <v>132</v>
      </c>
    </row>
    <row r="59" spans="2:29" x14ac:dyDescent="0.25">
      <c r="B59" s="12">
        <v>1</v>
      </c>
      <c r="C59" s="12">
        <v>2036</v>
      </c>
      <c r="D59" s="1"/>
      <c r="E59" s="30">
        <f>IF(B59/ROUNDUP(Model!$E$101,0)&gt;=1,1,B59/ROUNDUP(Model!$E$101,0))</f>
        <v>0.5</v>
      </c>
      <c r="F59" s="22">
        <f>IF(B59/ROUNDUP(Model!$E$101,0)&gt;1,0,1/ROUNDUP(Model!$E$101,0)*Model!$E$86*1000000000)</f>
        <v>32732752613.240414</v>
      </c>
      <c r="G59" s="22">
        <f>IF(B59/ROUNDUP(Model!$E$101,0)&gt;=1,Model!$E$92,B59/ROUNDUP(Model!$E$101,0)*Model!$E$92)*1000000</f>
        <v>4127679545.0182433</v>
      </c>
      <c r="H59" s="24">
        <f>(F59+G59)/POWER(1+Model!$E$94,(B59-1))</f>
        <v>36860432158.258659</v>
      </c>
      <c r="I59" s="39">
        <f>H59</f>
        <v>36860432158.258659</v>
      </c>
      <c r="J59" s="12">
        <f>ROUNDUP(B59/Model!$E$31,0)</f>
        <v>1</v>
      </c>
      <c r="K59" s="12" t="b">
        <f>IF(MOD(B59,Model!$E$62)=0,TRUE,FALSE)</f>
        <v>0</v>
      </c>
      <c r="L59" s="12">
        <v>1</v>
      </c>
      <c r="M59" s="18">
        <f>Model!$E$27*POWER(1+Model!$E$32,L59-1)</f>
        <v>35600</v>
      </c>
      <c r="N59" s="61">
        <f>M59*E59*Model!$E$34/1000000</f>
        <v>6202.0905923344944</v>
      </c>
      <c r="O59" s="61">
        <f>N59/(I59/1000000000)</f>
        <v>168.25875957465959</v>
      </c>
      <c r="Q59" s="30">
        <f>IF(B59/ROUNDUP(Model!$L$101,0)&gt;=1,1,B59/ROUNDUP(Model!$L$101,0))</f>
        <v>1</v>
      </c>
      <c r="R59" s="22">
        <f>IF(B59/ROUNDUP(Model!$L$101,0)&gt;1,0,1/ROUNDUP(Model!$L$101,0)*Model!$L$86*1000000000)</f>
        <v>60003348678.318657</v>
      </c>
      <c r="S59" s="22">
        <f>IF(B59/ROUNDUP(Model!$L$101,0)&gt;=1,Model!$L$92,B59/ROUNDUP(Model!$L$101,0)*Model!$L$92)*1000000</f>
        <v>2718130563.0983295</v>
      </c>
      <c r="T59" s="24">
        <f>(R59+S59)/POWER(1+Model!$L$94,(B59-1))</f>
        <v>62721479241.416985</v>
      </c>
      <c r="U59" s="39">
        <f>T59</f>
        <v>62721479241.416985</v>
      </c>
      <c r="V59" s="12">
        <f>ROUNDUP(B59/Model!$L$30,0)</f>
        <v>1</v>
      </c>
      <c r="W59" s="12" t="b">
        <f>IF(MOD(B59,Model!$L$71)=0,TRUE,FALSE)</f>
        <v>0</v>
      </c>
      <c r="X59" s="12">
        <v>1</v>
      </c>
      <c r="Y59" s="18">
        <f>Model!$L$27*POWER(1+Model!$L$31,X59-1)</f>
        <v>35600</v>
      </c>
      <c r="Z59" s="61">
        <f>Y59*Q59*Model!$L$34/1000000</f>
        <v>12404.181184668989</v>
      </c>
      <c r="AA59" s="61">
        <f t="shared" ref="AA59:AA78" si="14">Z59/(U59/1000000000)</f>
        <v>197.76608164684538</v>
      </c>
      <c r="AB59" s="1"/>
      <c r="AC59" s="30">
        <f t="shared" ref="AC59:AC78" si="15">(AA59-O59)/O59</f>
        <v>0.17536871273018526</v>
      </c>
    </row>
    <row r="60" spans="2:29" x14ac:dyDescent="0.25">
      <c r="B60" s="12">
        <v>2</v>
      </c>
      <c r="C60" s="12">
        <v>2037</v>
      </c>
      <c r="D60" s="1"/>
      <c r="E60" s="30">
        <f>IF(B60/ROUNDUP(Model!$E$101,0)&gt;=1,1,B60/ROUNDUP(Model!$E$101,0))</f>
        <v>1</v>
      </c>
      <c r="F60" s="22">
        <f>IF(B60/ROUNDUP(Model!$E$101,0)&gt;1,0,1/ROUNDUP(Model!$E$101,0)*Model!$E$86*1000000000)</f>
        <v>32732752613.240414</v>
      </c>
      <c r="G60" s="22">
        <f>IF(B60/ROUNDUP(Model!$E$101,0)&gt;=1,Model!$E$92,B60/ROUNDUP(Model!$E$101,0)*Model!$E$92)*1000000</f>
        <v>8255359090.0364866</v>
      </c>
      <c r="H60" s="24">
        <f>(F60+G60)/POWER(1+Model!$E$94,(B60-1))</f>
        <v>37261919730.251724</v>
      </c>
      <c r="I60" s="39">
        <f>H60+I59</f>
        <v>74122351888.510376</v>
      </c>
      <c r="J60" s="12">
        <f>ROUNDUP(B60/Model!$E$31,0)</f>
        <v>1</v>
      </c>
      <c r="K60" s="12" t="b">
        <f>IF(MOD(B60,Model!$E$62)=0,TRUE,FALSE)</f>
        <v>0</v>
      </c>
      <c r="L60" s="12">
        <f t="shared" ref="L60:L78" si="16">IF(K60,J60,L59)</f>
        <v>1</v>
      </c>
      <c r="M60" s="18">
        <f>Model!$E$27*POWER(1+Model!$E$32,L60-1)</f>
        <v>35600</v>
      </c>
      <c r="N60" s="61">
        <f>M60*E60*Model!$E$34/1000000</f>
        <v>12404.181184668989</v>
      </c>
      <c r="O60" s="61">
        <f t="shared" ref="O60:O78" si="17">N60/(I60/1000000000)</f>
        <v>167.34737725708547</v>
      </c>
      <c r="Q60" s="30">
        <f>IF(B60/ROUNDUP(Model!$L$101,0)&gt;=1,1,B60/ROUNDUP(Model!$L$101,0))</f>
        <v>1</v>
      </c>
      <c r="R60" s="22">
        <f>IF(B60/ROUNDUP(Model!$L$101,0)&gt;1,0,1/ROUNDUP(Model!$L$101,0)*Model!$L$86*1000000000)</f>
        <v>0</v>
      </c>
      <c r="S60" s="22">
        <f>IF(B60/ROUNDUP(Model!$L$101,0)&gt;=1,Model!$L$92,B60/ROUNDUP(Model!$L$101,0)*Model!$L$92)*1000000</f>
        <v>2718130563.0983295</v>
      </c>
      <c r="T60" s="24">
        <f>(R60+S60)/POWER(1+Model!$L$94,(B60-1))</f>
        <v>2471027784.6348448</v>
      </c>
      <c r="U60" s="39">
        <f>T60+U59</f>
        <v>65192507026.051826</v>
      </c>
      <c r="V60" s="12">
        <f>ROUNDUP(B60/Model!$L$30,0)</f>
        <v>1</v>
      </c>
      <c r="W60" s="12" t="b">
        <f>IF(MOD(B60,Model!$L$71)=0,TRUE,FALSE)</f>
        <v>0</v>
      </c>
      <c r="X60" s="12">
        <f t="shared" ref="X60:X78" si="18">IF(W60,V60,X59)</f>
        <v>1</v>
      </c>
      <c r="Y60" s="18">
        <f>Model!$L$27*POWER(1+Model!$L$31,X60-1)</f>
        <v>35600</v>
      </c>
      <c r="Z60" s="61">
        <f>Y60*Q60*Model!$L$34/1000000</f>
        <v>12404.181184668989</v>
      </c>
      <c r="AA60" s="61">
        <f t="shared" si="14"/>
        <v>190.27004406675306</v>
      </c>
      <c r="AB60" s="1"/>
      <c r="AC60" s="30">
        <f t="shared" si="15"/>
        <v>0.13697655251837565</v>
      </c>
    </row>
    <row r="61" spans="2:29" x14ac:dyDescent="0.25">
      <c r="B61" s="12">
        <v>3</v>
      </c>
      <c r="C61" s="12">
        <v>2038</v>
      </c>
      <c r="D61" s="1"/>
      <c r="E61" s="30">
        <f>IF(B61/ROUNDUP(Model!$E$101,0)&gt;=1,1,B61/ROUNDUP(Model!$E$101,0))</f>
        <v>1</v>
      </c>
      <c r="F61" s="22">
        <f>IF(B61/ROUNDUP(Model!$E$101,0)&gt;1,0,1/ROUNDUP(Model!$E$101,0)*Model!$E$86*1000000000)</f>
        <v>0</v>
      </c>
      <c r="G61" s="22">
        <f>IF(B61/ROUNDUP(Model!$E$101,0)&gt;=1,Model!$E$92,B61/ROUNDUP(Model!$E$101,0)*Model!$E$92)*1000000</f>
        <v>8255359090.0364866</v>
      </c>
      <c r="H61" s="24">
        <f>(F61+G61)/POWER(1+Model!$E$94,(B61-1))</f>
        <v>6822610818.2119713</v>
      </c>
      <c r="I61" s="39">
        <f t="shared" ref="I61:I78" si="19">H61+I60</f>
        <v>80944962706.722351</v>
      </c>
      <c r="J61" s="12">
        <f>ROUNDUP(B61/Model!$E$31,0)</f>
        <v>2</v>
      </c>
      <c r="K61" s="12" t="b">
        <f>IF(MOD(B61,Model!$E$62)=0,TRUE,FALSE)</f>
        <v>0</v>
      </c>
      <c r="L61" s="12">
        <f t="shared" si="16"/>
        <v>1</v>
      </c>
      <c r="M61" s="18">
        <f>Model!$E$27*POWER(1+Model!$E$32,L61-1)</f>
        <v>35600</v>
      </c>
      <c r="N61" s="61">
        <f>M61*E61*Model!$E$34/1000000</f>
        <v>12404.181184668989</v>
      </c>
      <c r="O61" s="61">
        <f t="shared" si="17"/>
        <v>153.24216319193931</v>
      </c>
      <c r="Q61" s="30">
        <f>IF(B61/ROUNDUP(Model!$L$101,0)&gt;=1,1,B61/ROUNDUP(Model!$L$101,0))</f>
        <v>1</v>
      </c>
      <c r="R61" s="22">
        <f>IF(B61/ROUNDUP(Model!$L$101,0)&gt;1,0,1/ROUNDUP(Model!$L$101,0)*Model!$L$86*1000000000)</f>
        <v>0</v>
      </c>
      <c r="S61" s="22">
        <f>IF(B61/ROUNDUP(Model!$L$101,0)&gt;=1,Model!$L$92,B61/ROUNDUP(Model!$L$101,0)*Model!$L$92)*1000000</f>
        <v>2718130563.0983295</v>
      </c>
      <c r="T61" s="24">
        <f>(R61+S61)/POWER(1+Model!$L$94,(B61-1))</f>
        <v>2246388895.1225863</v>
      </c>
      <c r="U61" s="39">
        <f t="shared" ref="U61:U78" si="20">T61+U60</f>
        <v>67438895921.174416</v>
      </c>
      <c r="V61" s="12">
        <f>ROUNDUP(B61/Model!$L$30,0)</f>
        <v>2</v>
      </c>
      <c r="W61" s="12" t="b">
        <f>IF(MOD(B61,Model!$L$71)=0,TRUE,FALSE)</f>
        <v>0</v>
      </c>
      <c r="X61" s="12">
        <f t="shared" si="18"/>
        <v>1</v>
      </c>
      <c r="Y61" s="18">
        <f>Model!$L$27*POWER(1+Model!$L$31,X61-1)</f>
        <v>35600</v>
      </c>
      <c r="Z61" s="61">
        <f>Y61*Q61*Model!$L$34/1000000</f>
        <v>12404.181184668989</v>
      </c>
      <c r="AA61" s="61">
        <f t="shared" si="14"/>
        <v>183.9321509528796</v>
      </c>
      <c r="AB61" s="1"/>
      <c r="AC61" s="30">
        <f t="shared" si="15"/>
        <v>0.20027117290494242</v>
      </c>
    </row>
    <row r="62" spans="2:29" x14ac:dyDescent="0.25">
      <c r="B62" s="12">
        <v>4</v>
      </c>
      <c r="C62" s="12">
        <v>2039</v>
      </c>
      <c r="D62" s="1"/>
      <c r="E62" s="30">
        <f>IF(B62/ROUNDUP(Model!$E$101,0)&gt;=1,1,B62/ROUNDUP(Model!$E$101,0))</f>
        <v>1</v>
      </c>
      <c r="F62" s="22">
        <f>IF(B62/ROUNDUP(Model!$E$101,0)&gt;1,0,1/ROUNDUP(Model!$E$101,0)*Model!$E$86*1000000000)</f>
        <v>0</v>
      </c>
      <c r="G62" s="22">
        <f>IF(B62/ROUNDUP(Model!$E$101,0)&gt;=1,Model!$E$92,B62/ROUNDUP(Model!$E$101,0)*Model!$E$92)*1000000</f>
        <v>8255359090.0364866</v>
      </c>
      <c r="H62" s="24">
        <f>(F62+G62)/POWER(1+Model!$E$94,(B62-1))</f>
        <v>6202373471.1017914</v>
      </c>
      <c r="I62" s="39">
        <f t="shared" si="19"/>
        <v>87147336177.824142</v>
      </c>
      <c r="J62" s="12">
        <f>ROUNDUP(B62/Model!$E$31,0)</f>
        <v>2</v>
      </c>
      <c r="K62" s="12" t="b">
        <f>IF(MOD(B62,Model!$E$62)=0,TRUE,FALSE)</f>
        <v>0</v>
      </c>
      <c r="L62" s="12">
        <f t="shared" si="16"/>
        <v>1</v>
      </c>
      <c r="M62" s="18">
        <f>Model!$E$27*POWER(1+Model!$E$32,L62-1)</f>
        <v>35600</v>
      </c>
      <c r="N62" s="61">
        <f>M62*E62*Model!$E$34/1000000</f>
        <v>12404.181184668989</v>
      </c>
      <c r="O62" s="61">
        <f t="shared" si="17"/>
        <v>142.33574689372324</v>
      </c>
      <c r="Q62" s="30">
        <f>IF(B62/ROUNDUP(Model!$L$101,0)&gt;=1,1,B62/ROUNDUP(Model!$L$101,0))</f>
        <v>1</v>
      </c>
      <c r="R62" s="22">
        <f>IF(B62/ROUNDUP(Model!$L$101,0)&gt;1,0,1/ROUNDUP(Model!$L$101,0)*Model!$L$86*1000000000)</f>
        <v>0</v>
      </c>
      <c r="S62" s="22">
        <f>IF(B62/ROUNDUP(Model!$L$101,0)&gt;=1,Model!$L$92,B62/ROUNDUP(Model!$L$101,0)*Model!$L$92)*1000000</f>
        <v>2718130563.0983295</v>
      </c>
      <c r="T62" s="24">
        <f>(R62+S62)/POWER(1+Model!$L$94,(B62-1))</f>
        <v>2042171722.8387144</v>
      </c>
      <c r="U62" s="39">
        <f t="shared" si="20"/>
        <v>69481067644.013123</v>
      </c>
      <c r="V62" s="12">
        <f>ROUNDUP(B62/Model!$L$30,0)</f>
        <v>2</v>
      </c>
      <c r="W62" s="12" t="b">
        <f>IF(MOD(B62,Model!$L$71)=0,TRUE,FALSE)</f>
        <v>0</v>
      </c>
      <c r="X62" s="12">
        <f t="shared" si="18"/>
        <v>1</v>
      </c>
      <c r="Y62" s="18">
        <f>Model!$L$27*POWER(1+Model!$L$31,X62-1)</f>
        <v>35600</v>
      </c>
      <c r="Z62" s="61">
        <f>Y62*Q62*Model!$L$34/1000000</f>
        <v>12404.181184668989</v>
      </c>
      <c r="AA62" s="61">
        <f t="shared" si="14"/>
        <v>178.52605904419781</v>
      </c>
      <c r="AB62" s="1"/>
      <c r="AC62" s="30">
        <f t="shared" si="15"/>
        <v>0.25426017666171041</v>
      </c>
    </row>
    <row r="63" spans="2:29" x14ac:dyDescent="0.25">
      <c r="B63" s="12">
        <v>5</v>
      </c>
      <c r="C63" s="12">
        <v>2040</v>
      </c>
      <c r="D63" s="1"/>
      <c r="E63" s="30">
        <f>IF(B63/ROUNDUP(Model!$E$101,0)&gt;=1,1,B63/ROUNDUP(Model!$E$101,0))</f>
        <v>1</v>
      </c>
      <c r="F63" s="22">
        <f>IF(B63/ROUNDUP(Model!$E$101,0)&gt;1,0,1/ROUNDUP(Model!$E$101,0)*Model!$E$86*1000000000)</f>
        <v>0</v>
      </c>
      <c r="G63" s="22">
        <f>IF(B63/ROUNDUP(Model!$E$101,0)&gt;=1,Model!$E$92,B63/ROUNDUP(Model!$E$101,0)*Model!$E$92)*1000000</f>
        <v>8255359090.0364866</v>
      </c>
      <c r="H63" s="24">
        <f>(F63+G63)/POWER(1+Model!$E$94,(B63-1))</f>
        <v>5638521337.3652649</v>
      </c>
      <c r="I63" s="39">
        <f t="shared" si="19"/>
        <v>92785857515.189407</v>
      </c>
      <c r="J63" s="12">
        <f>ROUNDUP(B63/Model!$E$31,0)</f>
        <v>3</v>
      </c>
      <c r="K63" s="12" t="b">
        <f>IF(MOD(B63,Model!$E$62)=0,TRUE,FALSE)</f>
        <v>1</v>
      </c>
      <c r="L63" s="12">
        <f t="shared" si="16"/>
        <v>3</v>
      </c>
      <c r="M63" s="18">
        <f>Model!$E$27*POWER(1+Model!$E$32,L63-1)</f>
        <v>80100</v>
      </c>
      <c r="N63" s="61">
        <f>M63*E63*Model!$E$34/1000000</f>
        <v>27909.407665505227</v>
      </c>
      <c r="O63" s="61">
        <f t="shared" si="17"/>
        <v>300.79376763787894</v>
      </c>
      <c r="Q63" s="30">
        <f>IF(B63/ROUNDUP(Model!$L$101,0)&gt;=1,1,B63/ROUNDUP(Model!$L$101,0))</f>
        <v>1</v>
      </c>
      <c r="R63" s="22">
        <f>IF(B63/ROUNDUP(Model!$L$101,0)&gt;1,0,1/ROUNDUP(Model!$L$101,0)*Model!$L$86*1000000000)</f>
        <v>0</v>
      </c>
      <c r="S63" s="22">
        <f>IF(B63/ROUNDUP(Model!$L$101,0)&gt;=1,Model!$L$92,B63/ROUNDUP(Model!$L$101,0)*Model!$L$92)*1000000</f>
        <v>2718130563.0983295</v>
      </c>
      <c r="T63" s="24">
        <f>(R63+S63)/POWER(1+Model!$L$94,(B63-1))</f>
        <v>1856519748.0351949</v>
      </c>
      <c r="U63" s="39">
        <f t="shared" si="20"/>
        <v>71337587392.048325</v>
      </c>
      <c r="V63" s="12">
        <f>ROUNDUP(B63/Model!$L$30,0)</f>
        <v>3</v>
      </c>
      <c r="W63" s="12" t="b">
        <f>IF(MOD(B63,Model!$L$71)=0,TRUE,FALSE)</f>
        <v>1</v>
      </c>
      <c r="X63" s="12">
        <f t="shared" si="18"/>
        <v>3</v>
      </c>
      <c r="Y63" s="18">
        <f>Model!$L$27*POWER(1+Model!$L$31,X63-1)</f>
        <v>80100</v>
      </c>
      <c r="Z63" s="61">
        <f>Y63*Q63*Model!$L$34/1000000</f>
        <v>27909.407665505227</v>
      </c>
      <c r="AA63" s="61">
        <f t="shared" si="14"/>
        <v>391.23004696141663</v>
      </c>
      <c r="AB63" s="1"/>
      <c r="AC63" s="30">
        <f t="shared" si="15"/>
        <v>0.3006587537824672</v>
      </c>
    </row>
    <row r="64" spans="2:29" x14ac:dyDescent="0.25">
      <c r="B64" s="12">
        <v>6</v>
      </c>
      <c r="C64" s="12">
        <v>2041</v>
      </c>
      <c r="D64" s="1"/>
      <c r="E64" s="30">
        <f>IF(B64/ROUNDUP(Model!$E$101,0)&gt;=1,1,B64/ROUNDUP(Model!$E$101,0))</f>
        <v>1</v>
      </c>
      <c r="F64" s="22">
        <f>IF(B64/ROUNDUP(Model!$E$101,0)&gt;1,0,1/ROUNDUP(Model!$E$101,0)*Model!$E$86*1000000000)</f>
        <v>0</v>
      </c>
      <c r="G64" s="22">
        <f>IF(B64/ROUNDUP(Model!$E$101,0)&gt;=1,Model!$E$92,B64/ROUNDUP(Model!$E$101,0)*Model!$E$92)*1000000</f>
        <v>8255359090.0364866</v>
      </c>
      <c r="H64" s="24">
        <f>(F64+G64)/POWER(1+Model!$E$94,(B64-1))</f>
        <v>5125928488.5138769</v>
      </c>
      <c r="I64" s="39">
        <f t="shared" si="19"/>
        <v>97911786003.703278</v>
      </c>
      <c r="J64" s="12">
        <f>ROUNDUP(B64/Model!$E$31,0)</f>
        <v>3</v>
      </c>
      <c r="K64" s="12" t="b">
        <f>IF(MOD(B64,Model!$E$62)=0,TRUE,FALSE)</f>
        <v>0</v>
      </c>
      <c r="L64" s="12">
        <f t="shared" si="16"/>
        <v>3</v>
      </c>
      <c r="M64" s="18">
        <f>Model!$E$27*POWER(1+Model!$E$32,L64-1)</f>
        <v>80100</v>
      </c>
      <c r="N64" s="61">
        <f>M64*E64*Model!$E$34/1000000</f>
        <v>27909.407665505227</v>
      </c>
      <c r="O64" s="61">
        <f t="shared" si="17"/>
        <v>285.04645665895237</v>
      </c>
      <c r="Q64" s="30">
        <f>IF(B64/ROUNDUP(Model!$L$101,0)&gt;=1,1,B64/ROUNDUP(Model!$L$101,0))</f>
        <v>1</v>
      </c>
      <c r="R64" s="22">
        <f>IF(B64/ROUNDUP(Model!$L$101,0)&gt;1,0,1/ROUNDUP(Model!$L$101,0)*Model!$L$86*1000000000)</f>
        <v>0</v>
      </c>
      <c r="S64" s="22">
        <f>IF(B64/ROUNDUP(Model!$L$101,0)&gt;=1,Model!$L$92,B64/ROUNDUP(Model!$L$101,0)*Model!$L$92)*1000000</f>
        <v>2718130563.0983295</v>
      </c>
      <c r="T64" s="24">
        <f>(R64+S64)/POWER(1+Model!$L$94,(B64-1))</f>
        <v>1687745225.4865406</v>
      </c>
      <c r="U64" s="39">
        <f t="shared" si="20"/>
        <v>73025332617.534866</v>
      </c>
      <c r="V64" s="12">
        <f>ROUNDUP(B64/Model!$L$30,0)</f>
        <v>3</v>
      </c>
      <c r="W64" s="12" t="b">
        <f>IF(MOD(B64,Model!$L$71)=0,TRUE,FALSE)</f>
        <v>0</v>
      </c>
      <c r="X64" s="12">
        <f t="shared" si="18"/>
        <v>3</v>
      </c>
      <c r="Y64" s="18">
        <f>Model!$L$27*POWER(1+Model!$L$31,X64-1)</f>
        <v>80100</v>
      </c>
      <c r="Z64" s="61">
        <f>Y64*Q64*Model!$L$34/1000000</f>
        <v>27909.407665505227</v>
      </c>
      <c r="AA64" s="61">
        <f t="shared" si="14"/>
        <v>382.1880252388417</v>
      </c>
      <c r="AB64" s="1"/>
      <c r="AC64" s="30">
        <f t="shared" si="15"/>
        <v>0.34079205796308376</v>
      </c>
    </row>
    <row r="65" spans="2:29" x14ac:dyDescent="0.25">
      <c r="B65" s="12">
        <v>7</v>
      </c>
      <c r="C65" s="12">
        <v>2042</v>
      </c>
      <c r="D65" s="1"/>
      <c r="E65" s="30">
        <f>IF(B65/ROUNDUP(Model!$E$101,0)&gt;=1,1,B65/ROUNDUP(Model!$E$101,0))</f>
        <v>1</v>
      </c>
      <c r="F65" s="22">
        <f>IF(B65/ROUNDUP(Model!$E$101,0)&gt;1,0,1/ROUNDUP(Model!$E$101,0)*Model!$E$86*1000000000)</f>
        <v>0</v>
      </c>
      <c r="G65" s="22">
        <f>IF(B65/ROUNDUP(Model!$E$101,0)&gt;=1,Model!$E$92,B65/ROUNDUP(Model!$E$101,0)*Model!$E$92)*1000000</f>
        <v>8255359090.0364866</v>
      </c>
      <c r="H65" s="24">
        <f>(F65+G65)/POWER(1+Model!$E$94,(B65-1))</f>
        <v>4659934989.5580692</v>
      </c>
      <c r="I65" s="39">
        <f t="shared" si="19"/>
        <v>102571720993.26135</v>
      </c>
      <c r="J65" s="12">
        <f>ROUNDUP(B65/Model!$E$31,0)</f>
        <v>4</v>
      </c>
      <c r="K65" s="12" t="b">
        <f>IF(MOD(B65,Model!$E$62)=0,TRUE,FALSE)</f>
        <v>0</v>
      </c>
      <c r="L65" s="12">
        <f t="shared" si="16"/>
        <v>3</v>
      </c>
      <c r="M65" s="18">
        <f>Model!$E$27*POWER(1+Model!$E$32,L65-1)</f>
        <v>80100</v>
      </c>
      <c r="N65" s="61">
        <f>M65*E65*Model!$E$34/1000000</f>
        <v>27909.407665505227</v>
      </c>
      <c r="O65" s="61">
        <f t="shared" si="17"/>
        <v>272.09651349555486</v>
      </c>
      <c r="Q65" s="30">
        <f>IF(B65/ROUNDUP(Model!$L$101,0)&gt;=1,1,B65/ROUNDUP(Model!$L$101,0))</f>
        <v>1</v>
      </c>
      <c r="R65" s="22">
        <f>IF(B65/ROUNDUP(Model!$L$101,0)&gt;1,0,1/ROUNDUP(Model!$L$101,0)*Model!$L$86*1000000000)</f>
        <v>0</v>
      </c>
      <c r="S65" s="22">
        <f>IF(B65/ROUNDUP(Model!$L$101,0)&gt;=1,Model!$L$92,B65/ROUNDUP(Model!$L$101,0)*Model!$L$92)*1000000</f>
        <v>2718130563.0983295</v>
      </c>
      <c r="T65" s="24">
        <f>(R65+S65)/POWER(1+Model!$L$94,(B65-1))</f>
        <v>1534313841.3514004</v>
      </c>
      <c r="U65" s="39">
        <f t="shared" si="20"/>
        <v>74559646458.886261</v>
      </c>
      <c r="V65" s="12">
        <f>ROUNDUP(B65/Model!$L$30,0)</f>
        <v>4</v>
      </c>
      <c r="W65" s="12" t="b">
        <f>IF(MOD(B65,Model!$L$71)=0,TRUE,FALSE)</f>
        <v>0</v>
      </c>
      <c r="X65" s="12">
        <f t="shared" si="18"/>
        <v>3</v>
      </c>
      <c r="Y65" s="18">
        <f>Model!$L$27*POWER(1+Model!$L$31,X65-1)</f>
        <v>80100</v>
      </c>
      <c r="Z65" s="61">
        <f>Y65*Q65*Model!$L$34/1000000</f>
        <v>27909.407665505227</v>
      </c>
      <c r="AA65" s="61">
        <f t="shared" si="14"/>
        <v>374.32322966948419</v>
      </c>
      <c r="AB65" s="1"/>
      <c r="AC65" s="30">
        <f t="shared" si="15"/>
        <v>0.37570020600649617</v>
      </c>
    </row>
    <row r="66" spans="2:29" x14ac:dyDescent="0.25">
      <c r="B66" s="12">
        <v>8</v>
      </c>
      <c r="C66" s="12">
        <v>2043</v>
      </c>
      <c r="D66" s="1"/>
      <c r="E66" s="30">
        <f>IF(B66/ROUNDUP(Model!$E$101,0)&gt;=1,1,B66/ROUNDUP(Model!$E$101,0))</f>
        <v>1</v>
      </c>
      <c r="F66" s="22">
        <f>IF(B66/ROUNDUP(Model!$E$101,0)&gt;1,0,1/ROUNDUP(Model!$E$101,0)*Model!$E$86*1000000000)</f>
        <v>0</v>
      </c>
      <c r="G66" s="22">
        <f>IF(B66/ROUNDUP(Model!$E$101,0)&gt;=1,Model!$E$92,B66/ROUNDUP(Model!$E$101,0)*Model!$E$92)*1000000</f>
        <v>8255359090.0364866</v>
      </c>
      <c r="H66" s="24">
        <f>(F66+G66)/POWER(1+Model!$E$94,(B66-1))</f>
        <v>4236304535.9618807</v>
      </c>
      <c r="I66" s="39">
        <f t="shared" si="19"/>
        <v>106808025529.22324</v>
      </c>
      <c r="J66" s="12">
        <f>ROUNDUP(B66/Model!$E$31,0)</f>
        <v>4</v>
      </c>
      <c r="K66" s="12" t="b">
        <f>IF(MOD(B66,Model!$E$62)=0,TRUE,FALSE)</f>
        <v>0</v>
      </c>
      <c r="L66" s="12">
        <f t="shared" si="16"/>
        <v>3</v>
      </c>
      <c r="M66" s="18">
        <f>Model!$E$27*POWER(1+Model!$E$32,L66-1)</f>
        <v>80100</v>
      </c>
      <c r="N66" s="61">
        <f>M66*E66*Model!$E$34/1000000</f>
        <v>27909.407665505227</v>
      </c>
      <c r="O66" s="61">
        <f t="shared" si="17"/>
        <v>261.30440598650586</v>
      </c>
      <c r="Q66" s="30">
        <f>IF(B66/ROUNDUP(Model!$L$101,0)&gt;=1,1,B66/ROUNDUP(Model!$L$101,0))</f>
        <v>1</v>
      </c>
      <c r="R66" s="22">
        <f>IF(B66/ROUNDUP(Model!$L$101,0)&gt;1,0,1/ROUNDUP(Model!$L$101,0)*Model!$L$86*1000000000)</f>
        <v>0</v>
      </c>
      <c r="S66" s="22">
        <f>IF(B66/ROUNDUP(Model!$L$101,0)&gt;=1,Model!$L$92,B66/ROUNDUP(Model!$L$101,0)*Model!$L$92)*1000000</f>
        <v>2718130563.0983295</v>
      </c>
      <c r="T66" s="24">
        <f>(R66+S66)/POWER(1+Model!$L$94,(B66-1))</f>
        <v>1394830764.8649092</v>
      </c>
      <c r="U66" s="39">
        <f t="shared" si="20"/>
        <v>75954477223.751175</v>
      </c>
      <c r="V66" s="12">
        <f>ROUNDUP(B66/Model!$L$30,0)</f>
        <v>4</v>
      </c>
      <c r="W66" s="12" t="b">
        <f>IF(MOD(B66,Model!$L$71)=0,TRUE,FALSE)</f>
        <v>0</v>
      </c>
      <c r="X66" s="12">
        <f t="shared" si="18"/>
        <v>3</v>
      </c>
      <c r="Y66" s="18">
        <f>Model!$L$27*POWER(1+Model!$L$31,X66-1)</f>
        <v>80100</v>
      </c>
      <c r="Z66" s="61">
        <f>Y66*Q66*Model!$L$34/1000000</f>
        <v>27909.407665505227</v>
      </c>
      <c r="AA66" s="61">
        <f t="shared" si="14"/>
        <v>367.44914435113617</v>
      </c>
      <c r="AB66" s="1"/>
      <c r="AC66" s="30">
        <f t="shared" si="15"/>
        <v>0.40621105474245922</v>
      </c>
    </row>
    <row r="67" spans="2:29" x14ac:dyDescent="0.25">
      <c r="B67" s="12">
        <v>9</v>
      </c>
      <c r="C67" s="12">
        <v>2044</v>
      </c>
      <c r="D67" s="1"/>
      <c r="E67" s="30">
        <f>IF(B67/ROUNDUP(Model!$E$101,0)&gt;=1,1,B67/ROUNDUP(Model!$E$101,0))</f>
        <v>1</v>
      </c>
      <c r="F67" s="22">
        <f>IF(B67/ROUNDUP(Model!$E$101,0)&gt;1,0,1/ROUNDUP(Model!$E$101,0)*Model!$E$86*1000000000)</f>
        <v>0</v>
      </c>
      <c r="G67" s="22">
        <f>IF(B67/ROUNDUP(Model!$E$101,0)&gt;=1,Model!$E$92,B67/ROUNDUP(Model!$E$101,0)*Model!$E$92)*1000000</f>
        <v>8255359090.0364866</v>
      </c>
      <c r="H67" s="24">
        <f>(F67+G67)/POWER(1+Model!$E$94,(B67-1))</f>
        <v>3851185941.7835283</v>
      </c>
      <c r="I67" s="39">
        <f t="shared" si="19"/>
        <v>110659211471.00676</v>
      </c>
      <c r="J67" s="12">
        <f>ROUNDUP(B67/Model!$E$31,0)</f>
        <v>5</v>
      </c>
      <c r="K67" s="12" t="b">
        <f>IF(MOD(B67,Model!$E$62)=0,TRUE,FALSE)</f>
        <v>0</v>
      </c>
      <c r="L67" s="12">
        <f t="shared" si="16"/>
        <v>3</v>
      </c>
      <c r="M67" s="18">
        <f>Model!$E$27*POWER(1+Model!$E$32,L67-1)</f>
        <v>80100</v>
      </c>
      <c r="N67" s="61">
        <f>M67*E67*Model!$E$34/1000000</f>
        <v>27909.407665505227</v>
      </c>
      <c r="O67" s="61">
        <f t="shared" si="17"/>
        <v>252.21043322559393</v>
      </c>
      <c r="Q67" s="30">
        <f>IF(B67/ROUNDUP(Model!$L$101,0)&gt;=1,1,B67/ROUNDUP(Model!$L$101,0))</f>
        <v>1</v>
      </c>
      <c r="R67" s="22">
        <f>IF(B67/ROUNDUP(Model!$L$101,0)&gt;1,0,1/ROUNDUP(Model!$L$101,0)*Model!$L$86*1000000000)</f>
        <v>0</v>
      </c>
      <c r="S67" s="22">
        <f>IF(B67/ROUNDUP(Model!$L$101,0)&gt;=1,Model!$L$92,B67/ROUNDUP(Model!$L$101,0)*Model!$L$92)*1000000</f>
        <v>2718130563.0983295</v>
      </c>
      <c r="T67" s="24">
        <f>(R67+S67)/POWER(1+Model!$L$94,(B67-1))</f>
        <v>1268027968.0590086</v>
      </c>
      <c r="U67" s="39">
        <f t="shared" si="20"/>
        <v>77222505191.810181</v>
      </c>
      <c r="V67" s="12">
        <f>ROUNDUP(B67/Model!$L$30,0)</f>
        <v>5</v>
      </c>
      <c r="W67" s="12" t="b">
        <f>IF(MOD(B67,Model!$L$71)=0,TRUE,FALSE)</f>
        <v>0</v>
      </c>
      <c r="X67" s="12">
        <f t="shared" si="18"/>
        <v>3</v>
      </c>
      <c r="Y67" s="18">
        <f>Model!$L$27*POWER(1+Model!$L$31,X67-1)</f>
        <v>80100</v>
      </c>
      <c r="Z67" s="61">
        <f>Y67*Q67*Model!$L$34/1000000</f>
        <v>27909.407665505227</v>
      </c>
      <c r="AA67" s="61">
        <f t="shared" si="14"/>
        <v>361.41546555867438</v>
      </c>
      <c r="AB67" s="1"/>
      <c r="AC67" s="30">
        <f t="shared" si="15"/>
        <v>0.43299173208826036</v>
      </c>
    </row>
    <row r="68" spans="2:29" x14ac:dyDescent="0.25">
      <c r="B68" s="12">
        <v>10</v>
      </c>
      <c r="C68" s="12">
        <v>2045</v>
      </c>
      <c r="D68" s="1"/>
      <c r="E68" s="30">
        <f>IF(B68/ROUNDUP(Model!$E$101,0)&gt;=1,1,B68/ROUNDUP(Model!$E$101,0))</f>
        <v>1</v>
      </c>
      <c r="F68" s="22">
        <f>IF(B68/ROUNDUP(Model!$E$101,0)&gt;1,0,1/ROUNDUP(Model!$E$101,0)*Model!$E$86*1000000000)</f>
        <v>0</v>
      </c>
      <c r="G68" s="22">
        <f>IF(B68/ROUNDUP(Model!$E$101,0)&gt;=1,Model!$E$92,B68/ROUNDUP(Model!$E$101,0)*Model!$E$92)*1000000</f>
        <v>8255359090.0364866</v>
      </c>
      <c r="H68" s="24">
        <f>(F68+G68)/POWER(1+Model!$E$94,(B68-1))</f>
        <v>3501078128.8941159</v>
      </c>
      <c r="I68" s="39">
        <f t="shared" si="19"/>
        <v>114160289599.90088</v>
      </c>
      <c r="J68" s="12">
        <f>ROUNDUP(B68/Model!$E$31,0)</f>
        <v>5</v>
      </c>
      <c r="K68" s="12" t="b">
        <f>IF(MOD(B68,Model!$E$62)=0,TRUE,FALSE)</f>
        <v>1</v>
      </c>
      <c r="L68" s="12">
        <f t="shared" si="16"/>
        <v>5</v>
      </c>
      <c r="M68" s="18">
        <f>Model!$E$27*POWER(1+Model!$E$32,L68-1)</f>
        <v>180225</v>
      </c>
      <c r="N68" s="61">
        <f>M68*E68*Model!$E$34/1000000</f>
        <v>62796.167247386758</v>
      </c>
      <c r="O68" s="61">
        <f t="shared" si="17"/>
        <v>550.07014669872808</v>
      </c>
      <c r="Q68" s="30">
        <f>IF(B68/ROUNDUP(Model!$L$101,0)&gt;=1,1,B68/ROUNDUP(Model!$L$101,0))</f>
        <v>1</v>
      </c>
      <c r="R68" s="22">
        <f>IF(B68/ROUNDUP(Model!$L$101,0)&gt;1,0,1/ROUNDUP(Model!$L$101,0)*Model!$L$86*1000000000)</f>
        <v>0</v>
      </c>
      <c r="S68" s="22">
        <f>IF(B68/ROUNDUP(Model!$L$101,0)&gt;=1,Model!$L$92,B68/ROUNDUP(Model!$L$101,0)*Model!$L$92)*1000000</f>
        <v>2718130563.0983295</v>
      </c>
      <c r="T68" s="24">
        <f>(R68+S68)/POWER(1+Model!$L$94,(B68-1))</f>
        <v>1152752698.2354622</v>
      </c>
      <c r="U68" s="39">
        <f t="shared" si="20"/>
        <v>78375257890.045639</v>
      </c>
      <c r="V68" s="12">
        <f>ROUNDUP(B68/Model!$L$30,0)</f>
        <v>5</v>
      </c>
      <c r="W68" s="12" t="b">
        <f>IF(MOD(B68,Model!$L$71)=0,TRUE,FALSE)</f>
        <v>1</v>
      </c>
      <c r="X68" s="12">
        <f t="shared" si="18"/>
        <v>5</v>
      </c>
      <c r="Y68" s="18">
        <f>Model!$L$27*POWER(1+Model!$L$31,X68-1)</f>
        <v>180225</v>
      </c>
      <c r="Z68" s="61">
        <f>Y68*Q68*Model!$L$34/1000000</f>
        <v>62796.167247386758</v>
      </c>
      <c r="AA68" s="61">
        <f t="shared" si="14"/>
        <v>801.22437792147196</v>
      </c>
      <c r="AB68" s="1"/>
      <c r="AC68" s="30">
        <f t="shared" si="15"/>
        <v>0.45658582406272696</v>
      </c>
    </row>
    <row r="69" spans="2:29" x14ac:dyDescent="0.25">
      <c r="B69" s="12">
        <v>11</v>
      </c>
      <c r="C69" s="12">
        <v>2046</v>
      </c>
      <c r="D69" s="1"/>
      <c r="E69" s="30">
        <f>IF(B69/ROUNDUP(Model!$E$101,0)&gt;=1,1,B69/ROUNDUP(Model!$E$101,0))</f>
        <v>1</v>
      </c>
      <c r="F69" s="22">
        <f>IF(B69/ROUNDUP(Model!$E$101,0)&gt;1,0,1/ROUNDUP(Model!$E$101,0)*Model!$E$86*1000000000)</f>
        <v>0</v>
      </c>
      <c r="G69" s="22">
        <f>IF(B69/ROUNDUP(Model!$E$101,0)&gt;=1,Model!$E$92,B69/ROUNDUP(Model!$E$101,0)*Model!$E$92)*1000000</f>
        <v>8255359090.0364866</v>
      </c>
      <c r="H69" s="24">
        <f>(F69+G69)/POWER(1+Model!$E$94,(B69-1))</f>
        <v>3182798298.9946508</v>
      </c>
      <c r="I69" s="39">
        <f t="shared" si="19"/>
        <v>117343087898.89552</v>
      </c>
      <c r="J69" s="12">
        <f>ROUNDUP(B69/Model!$E$31,0)</f>
        <v>6</v>
      </c>
      <c r="K69" s="12" t="b">
        <f>IF(MOD(B69,Model!$E$62)=0,TRUE,FALSE)</f>
        <v>0</v>
      </c>
      <c r="L69" s="12">
        <f t="shared" si="16"/>
        <v>5</v>
      </c>
      <c r="M69" s="18">
        <f>Model!$E$27*POWER(1+Model!$E$32,L69-1)</f>
        <v>180225</v>
      </c>
      <c r="N69" s="61">
        <f>M69*E69*Model!$E$34/1000000</f>
        <v>62796.167247386758</v>
      </c>
      <c r="O69" s="61">
        <f t="shared" si="17"/>
        <v>535.15011724842998</v>
      </c>
      <c r="Q69" s="30">
        <f>IF(B69/ROUNDUP(Model!$L$101,0)&gt;=1,1,B69/ROUNDUP(Model!$L$101,0))</f>
        <v>1</v>
      </c>
      <c r="R69" s="22">
        <f>IF(B69/ROUNDUP(Model!$L$101,0)&gt;1,0,1/ROUNDUP(Model!$L$101,0)*Model!$L$86*1000000000)</f>
        <v>0</v>
      </c>
      <c r="S69" s="22">
        <f>IF(B69/ROUNDUP(Model!$L$101,0)&gt;=1,Model!$L$92,B69/ROUNDUP(Model!$L$101,0)*Model!$L$92)*1000000</f>
        <v>2718130563.0983295</v>
      </c>
      <c r="T69" s="24">
        <f>(R69+S69)/POWER(1+Model!$L$94,(B69-1))</f>
        <v>1047956998.3958746</v>
      </c>
      <c r="U69" s="39">
        <f t="shared" si="20"/>
        <v>79423214888.441513</v>
      </c>
      <c r="V69" s="12">
        <f>ROUNDUP(B69/Model!$L$30,0)</f>
        <v>6</v>
      </c>
      <c r="W69" s="12" t="b">
        <f>IF(MOD(B69,Model!$L$71)=0,TRUE,FALSE)</f>
        <v>0</v>
      </c>
      <c r="X69" s="12">
        <f t="shared" si="18"/>
        <v>5</v>
      </c>
      <c r="Y69" s="18">
        <f>Model!$L$27*POWER(1+Model!$L$31,X69-1)</f>
        <v>180225</v>
      </c>
      <c r="Z69" s="61">
        <f>Y69*Q69*Model!$L$34/1000000</f>
        <v>62796.167247386758</v>
      </c>
      <c r="AA69" s="61">
        <f t="shared" si="14"/>
        <v>790.65254832092558</v>
      </c>
      <c r="AB69" s="1"/>
      <c r="AC69" s="30">
        <f t="shared" si="15"/>
        <v>0.47744067101434462</v>
      </c>
    </row>
    <row r="70" spans="2:29" x14ac:dyDescent="0.25">
      <c r="B70" s="12">
        <v>12</v>
      </c>
      <c r="C70" s="12">
        <v>2047</v>
      </c>
      <c r="D70" s="1"/>
      <c r="E70" s="30">
        <f>IF(B70/ROUNDUP(Model!$E$101,0)&gt;=1,1,B70/ROUNDUP(Model!$E$101,0))</f>
        <v>1</v>
      </c>
      <c r="F70" s="22">
        <f>IF(B70/ROUNDUP(Model!$E$101,0)&gt;1,0,1/ROUNDUP(Model!$E$101,0)*Model!$E$86*1000000000)</f>
        <v>0</v>
      </c>
      <c r="G70" s="22">
        <f>IF(B70/ROUNDUP(Model!$E$101,0)&gt;=1,Model!$E$92,B70/ROUNDUP(Model!$E$101,0)*Model!$E$92)*1000000</f>
        <v>8255359090.0364866</v>
      </c>
      <c r="H70" s="24">
        <f>(F70+G70)/POWER(1+Model!$E$94,(B70-1))</f>
        <v>2893452999.0860457</v>
      </c>
      <c r="I70" s="39">
        <f t="shared" si="19"/>
        <v>120236540897.98157</v>
      </c>
      <c r="J70" s="12">
        <f>ROUNDUP(B70/Model!$E$31,0)</f>
        <v>6</v>
      </c>
      <c r="K70" s="12" t="b">
        <f>IF(MOD(B70,Model!$E$62)=0,TRUE,FALSE)</f>
        <v>0</v>
      </c>
      <c r="L70" s="12">
        <f t="shared" si="16"/>
        <v>5</v>
      </c>
      <c r="M70" s="18">
        <f>Model!$E$27*POWER(1+Model!$E$32,L70-1)</f>
        <v>180225</v>
      </c>
      <c r="N70" s="61">
        <f>M70*E70*Model!$E$34/1000000</f>
        <v>62796.167247386758</v>
      </c>
      <c r="O70" s="61">
        <f t="shared" si="17"/>
        <v>522.27190485019128</v>
      </c>
      <c r="Q70" s="30">
        <f>IF(B70/ROUNDUP(Model!$L$101,0)&gt;=1,1,B70/ROUNDUP(Model!$L$101,0))</f>
        <v>1</v>
      </c>
      <c r="R70" s="22">
        <f>IF(B70/ROUNDUP(Model!$L$101,0)&gt;1,0,1/ROUNDUP(Model!$L$101,0)*Model!$L$86*1000000000)</f>
        <v>0</v>
      </c>
      <c r="S70" s="22">
        <f>IF(B70/ROUNDUP(Model!$L$101,0)&gt;=1,Model!$L$92,B70/ROUNDUP(Model!$L$101,0)*Model!$L$92)*1000000</f>
        <v>2718130563.0983295</v>
      </c>
      <c r="T70" s="24">
        <f>(R70+S70)/POWER(1+Model!$L$94,(B70-1))</f>
        <v>952688180.35988593</v>
      </c>
      <c r="U70" s="39">
        <f t="shared" si="20"/>
        <v>80375903068.801392</v>
      </c>
      <c r="V70" s="12">
        <f>ROUNDUP(B70/Model!$L$30,0)</f>
        <v>6</v>
      </c>
      <c r="W70" s="12" t="b">
        <f>IF(MOD(B70,Model!$L$71)=0,TRUE,FALSE)</f>
        <v>0</v>
      </c>
      <c r="X70" s="12">
        <f t="shared" si="18"/>
        <v>5</v>
      </c>
      <c r="Y70" s="18">
        <f>Model!$L$27*POWER(1+Model!$L$31,X70-1)</f>
        <v>180225</v>
      </c>
      <c r="Z70" s="61">
        <f>Y70*Q70*Model!$L$34/1000000</f>
        <v>62796.167247386758</v>
      </c>
      <c r="AA70" s="61">
        <f t="shared" si="14"/>
        <v>781.28101644635376</v>
      </c>
      <c r="AB70" s="1"/>
      <c r="AC70" s="30">
        <f t="shared" si="15"/>
        <v>0.49592771349716158</v>
      </c>
    </row>
    <row r="71" spans="2:29" x14ac:dyDescent="0.25">
      <c r="B71" s="12">
        <v>13</v>
      </c>
      <c r="C71" s="12">
        <v>2048</v>
      </c>
      <c r="D71" s="1"/>
      <c r="E71" s="30">
        <f>IF(B71/ROUNDUP(Model!$E$101,0)&gt;=1,1,B71/ROUNDUP(Model!$E$101,0))</f>
        <v>1</v>
      </c>
      <c r="F71" s="22">
        <f>IF(B71/ROUNDUP(Model!$E$101,0)&gt;1,0,1/ROUNDUP(Model!$E$101,0)*Model!$E$86*1000000000)</f>
        <v>0</v>
      </c>
      <c r="G71" s="22">
        <f>IF(B71/ROUNDUP(Model!$E$101,0)&gt;=1,Model!$E$92,B71/ROUNDUP(Model!$E$101,0)*Model!$E$92)*1000000</f>
        <v>8255359090.0364866</v>
      </c>
      <c r="H71" s="24">
        <f>(F71+G71)/POWER(1+Model!$E$94,(B71-1))</f>
        <v>2630411817.3509507</v>
      </c>
      <c r="I71" s="39">
        <f t="shared" si="19"/>
        <v>122866952715.33252</v>
      </c>
      <c r="J71" s="12">
        <f>ROUNDUP(B71/Model!$E$31,0)</f>
        <v>7</v>
      </c>
      <c r="K71" s="12" t="b">
        <f>IF(MOD(B71,Model!$E$62)=0,TRUE,FALSE)</f>
        <v>0</v>
      </c>
      <c r="L71" s="12">
        <f t="shared" si="16"/>
        <v>5</v>
      </c>
      <c r="M71" s="18">
        <f>Model!$E$27*POWER(1+Model!$E$32,L71-1)</f>
        <v>180225</v>
      </c>
      <c r="N71" s="61">
        <f>M71*E71*Model!$E$34/1000000</f>
        <v>62796.167247386758</v>
      </c>
      <c r="O71" s="61">
        <f t="shared" si="17"/>
        <v>511.09078445916771</v>
      </c>
      <c r="Q71" s="30">
        <f>IF(B71/ROUNDUP(Model!$L$101,0)&gt;=1,1,B71/ROUNDUP(Model!$L$101,0))</f>
        <v>1</v>
      </c>
      <c r="R71" s="22">
        <f>IF(B71/ROUNDUP(Model!$L$101,0)&gt;1,0,1/ROUNDUP(Model!$L$101,0)*Model!$L$86*1000000000)</f>
        <v>0</v>
      </c>
      <c r="S71" s="22">
        <f>IF(B71/ROUNDUP(Model!$L$101,0)&gt;=1,Model!$L$92,B71/ROUNDUP(Model!$L$101,0)*Model!$L$92)*1000000</f>
        <v>2718130563.0983295</v>
      </c>
      <c r="T71" s="24">
        <f>(R71+S71)/POWER(1+Model!$L$94,(B71-1))</f>
        <v>866080163.96353269</v>
      </c>
      <c r="U71" s="39">
        <f t="shared" si="20"/>
        <v>81241983232.764923</v>
      </c>
      <c r="V71" s="12">
        <f>ROUNDUP(B71/Model!$L$30,0)</f>
        <v>7</v>
      </c>
      <c r="W71" s="12" t="b">
        <f>IF(MOD(B71,Model!$L$71)=0,TRUE,FALSE)</f>
        <v>0</v>
      </c>
      <c r="X71" s="12">
        <f t="shared" si="18"/>
        <v>5</v>
      </c>
      <c r="Y71" s="18">
        <f>Model!$L$27*POWER(1+Model!$L$31,X71-1)</f>
        <v>180225</v>
      </c>
      <c r="Z71" s="61">
        <f>Y71*Q71*Model!$L$34/1000000</f>
        <v>62796.167247386758</v>
      </c>
      <c r="AA71" s="61">
        <f t="shared" si="14"/>
        <v>772.95217015407673</v>
      </c>
      <c r="AB71" s="1"/>
      <c r="AC71" s="30">
        <f t="shared" si="15"/>
        <v>0.51235786998587485</v>
      </c>
    </row>
    <row r="72" spans="2:29" x14ac:dyDescent="0.25">
      <c r="B72" s="12">
        <v>14</v>
      </c>
      <c r="C72" s="12">
        <v>2049</v>
      </c>
      <c r="D72" s="1"/>
      <c r="E72" s="30">
        <f>IF(B72/ROUNDUP(Model!$E$101,0)&gt;=1,1,B72/ROUNDUP(Model!$E$101,0))</f>
        <v>1</v>
      </c>
      <c r="F72" s="22">
        <f>IF(B72/ROUNDUP(Model!$E$101,0)&gt;1,0,1/ROUNDUP(Model!$E$101,0)*Model!$E$86*1000000000)</f>
        <v>0</v>
      </c>
      <c r="G72" s="22">
        <f>IF(B72/ROUNDUP(Model!$E$101,0)&gt;=1,Model!$E$92,B72/ROUNDUP(Model!$E$101,0)*Model!$E$92)*1000000</f>
        <v>8255359090.0364866</v>
      </c>
      <c r="H72" s="24">
        <f>(F72+G72)/POWER(1+Model!$E$94,(B72-1))</f>
        <v>2391283470.319046</v>
      </c>
      <c r="I72" s="39">
        <f t="shared" si="19"/>
        <v>125258236185.65157</v>
      </c>
      <c r="J72" s="12">
        <f>ROUNDUP(B72/Model!$E$31,0)</f>
        <v>7</v>
      </c>
      <c r="K72" s="12" t="b">
        <f>IF(MOD(B72,Model!$E$62)=0,TRUE,FALSE)</f>
        <v>0</v>
      </c>
      <c r="L72" s="12">
        <f t="shared" si="16"/>
        <v>5</v>
      </c>
      <c r="M72" s="18">
        <f>Model!$E$27*POWER(1+Model!$E$32,L72-1)</f>
        <v>180225</v>
      </c>
      <c r="N72" s="61">
        <f>M72*E72*Model!$E$34/1000000</f>
        <v>62796.167247386758</v>
      </c>
      <c r="O72" s="61">
        <f t="shared" si="17"/>
        <v>501.33363808758554</v>
      </c>
      <c r="Q72" s="30">
        <f>IF(B72/ROUNDUP(Model!$L$101,0)&gt;=1,1,B72/ROUNDUP(Model!$L$101,0))</f>
        <v>1</v>
      </c>
      <c r="R72" s="22">
        <f>IF(B72/ROUNDUP(Model!$L$101,0)&gt;1,0,1/ROUNDUP(Model!$L$101,0)*Model!$L$86*1000000000)</f>
        <v>0</v>
      </c>
      <c r="S72" s="22">
        <f>IF(B72/ROUNDUP(Model!$L$101,0)&gt;=1,Model!$L$92,B72/ROUNDUP(Model!$L$101,0)*Model!$L$92)*1000000</f>
        <v>2718130563.0983295</v>
      </c>
      <c r="T72" s="24">
        <f>(R72+S72)/POWER(1+Model!$L$94,(B72-1))</f>
        <v>787345603.60321152</v>
      </c>
      <c r="U72" s="39">
        <f t="shared" si="20"/>
        <v>82029328836.368134</v>
      </c>
      <c r="V72" s="12">
        <f>ROUNDUP(B72/Model!$L$30,0)</f>
        <v>7</v>
      </c>
      <c r="W72" s="12" t="b">
        <f>IF(MOD(B72,Model!$L$71)=0,TRUE,FALSE)</f>
        <v>0</v>
      </c>
      <c r="X72" s="12">
        <f t="shared" si="18"/>
        <v>5</v>
      </c>
      <c r="Y72" s="18">
        <f>Model!$L$27*POWER(1+Model!$L$31,X72-1)</f>
        <v>180225</v>
      </c>
      <c r="Z72" s="61">
        <f>Y72*Q72*Model!$L$34/1000000</f>
        <v>62796.167247386758</v>
      </c>
      <c r="AA72" s="61">
        <f t="shared" si="14"/>
        <v>765.53311039094774</v>
      </c>
      <c r="AB72" s="1"/>
      <c r="AC72" s="30">
        <f t="shared" si="15"/>
        <v>0.52699330791205601</v>
      </c>
    </row>
    <row r="73" spans="2:29" x14ac:dyDescent="0.25">
      <c r="B73" s="12">
        <v>15</v>
      </c>
      <c r="C73" s="12">
        <v>2050</v>
      </c>
      <c r="D73" s="1"/>
      <c r="E73" s="30">
        <f>IF(B73/ROUNDUP(Model!$E$101,0)&gt;=1,1,B73/ROUNDUP(Model!$E$101,0))</f>
        <v>1</v>
      </c>
      <c r="F73" s="22">
        <f>IF(B73/ROUNDUP(Model!$E$101,0)&gt;1,0,1/ROUNDUP(Model!$E$101,0)*Model!$E$86*1000000000)</f>
        <v>0</v>
      </c>
      <c r="G73" s="22">
        <f>IF(B73/ROUNDUP(Model!$E$101,0)&gt;=1,Model!$E$92,B73/ROUNDUP(Model!$E$101,0)*Model!$E$92)*1000000</f>
        <v>8255359090.0364866</v>
      </c>
      <c r="H73" s="24">
        <f>(F73+G73)/POWER(1+Model!$E$94,(B73-1))</f>
        <v>2173894063.926405</v>
      </c>
      <c r="I73" s="39">
        <f t="shared" si="19"/>
        <v>127432130249.57797</v>
      </c>
      <c r="J73" s="12">
        <f>ROUNDUP(B73/Model!$E$31,0)</f>
        <v>8</v>
      </c>
      <c r="K73" s="12" t="b">
        <f>IF(MOD(B73,Model!$E$62)=0,TRUE,FALSE)</f>
        <v>1</v>
      </c>
      <c r="L73" s="12">
        <f t="shared" si="16"/>
        <v>8</v>
      </c>
      <c r="M73" s="18">
        <f>Model!$E$27*POWER(1+Model!$E$32,L73-1)</f>
        <v>608259.375</v>
      </c>
      <c r="N73" s="61">
        <f>M73*E73*Model!$E$34/1000000</f>
        <v>211937.06445993032</v>
      </c>
      <c r="O73" s="61">
        <f t="shared" si="17"/>
        <v>1663.1367932471035</v>
      </c>
      <c r="Q73" s="30">
        <f>IF(B73/ROUNDUP(Model!$L$101,0)&gt;=1,1,B73/ROUNDUP(Model!$L$101,0))</f>
        <v>1</v>
      </c>
      <c r="R73" s="22">
        <f>IF(B73/ROUNDUP(Model!$L$101,0)&gt;1,0,1/ROUNDUP(Model!$L$101,0)*Model!$L$86*1000000000)</f>
        <v>0</v>
      </c>
      <c r="S73" s="22">
        <f>IF(B73/ROUNDUP(Model!$L$101,0)&gt;=1,Model!$L$92,B73/ROUNDUP(Model!$L$101,0)*Model!$L$92)*1000000</f>
        <v>2718130563.0983295</v>
      </c>
      <c r="T73" s="24">
        <f>(R73+S73)/POWER(1+Model!$L$94,(B73-1))</f>
        <v>715768730.54837394</v>
      </c>
      <c r="U73" s="39">
        <f t="shared" si="20"/>
        <v>82745097566.916504</v>
      </c>
      <c r="V73" s="12">
        <f>ROUNDUP(B73/Model!$L$30,0)</f>
        <v>8</v>
      </c>
      <c r="W73" s="12" t="b">
        <f>IF(MOD(B73,Model!$L$71)=0,TRUE,FALSE)</f>
        <v>1</v>
      </c>
      <c r="X73" s="12">
        <f t="shared" si="18"/>
        <v>8</v>
      </c>
      <c r="Y73" s="18">
        <f>Model!$L$27*POWER(1+Model!$L$31,X73-1)</f>
        <v>608259.375</v>
      </c>
      <c r="Z73" s="61">
        <f>Y73*Q73*Model!$L$34/1000000</f>
        <v>211937.06445993032</v>
      </c>
      <c r="AA73" s="61">
        <f t="shared" si="14"/>
        <v>2561.3247272871417</v>
      </c>
      <c r="AB73" s="1"/>
      <c r="AC73" s="30">
        <f t="shared" si="15"/>
        <v>0.54005655920005158</v>
      </c>
    </row>
    <row r="74" spans="2:29" x14ac:dyDescent="0.25">
      <c r="B74" s="12">
        <v>16</v>
      </c>
      <c r="C74" s="12">
        <v>2051</v>
      </c>
      <c r="D74" s="1"/>
      <c r="E74" s="30">
        <f>IF(B74/ROUNDUP(Model!$E$101,0)&gt;=1,1,B74/ROUNDUP(Model!$E$101,0))</f>
        <v>1</v>
      </c>
      <c r="F74" s="22">
        <f>IF(B74/ROUNDUP(Model!$E$101,0)&gt;1,0,1/ROUNDUP(Model!$E$101,0)*Model!$E$86*1000000000)</f>
        <v>0</v>
      </c>
      <c r="G74" s="22">
        <f>IF(B74/ROUNDUP(Model!$E$101,0)&gt;=1,Model!$E$92,B74/ROUNDUP(Model!$E$101,0)*Model!$E$92)*1000000</f>
        <v>8255359090.0364866</v>
      </c>
      <c r="H74" s="24">
        <f>(F74+G74)/POWER(1+Model!$E$94,(B74-1))</f>
        <v>1976267330.8421865</v>
      </c>
      <c r="I74" s="39">
        <f t="shared" si="19"/>
        <v>129408397580.42017</v>
      </c>
      <c r="J74" s="12">
        <f>ROUNDUP(B74/Model!$E$31,0)</f>
        <v>8</v>
      </c>
      <c r="K74" s="12" t="b">
        <f>IF(MOD(B74,Model!$E$62)=0,TRUE,FALSE)</f>
        <v>0</v>
      </c>
      <c r="L74" s="12">
        <f t="shared" si="16"/>
        <v>8</v>
      </c>
      <c r="M74" s="18">
        <f>Model!$E$27*POWER(1+Model!$E$32,L74-1)</f>
        <v>608259.375</v>
      </c>
      <c r="N74" s="61">
        <f>M74*E74*Model!$E$34/1000000</f>
        <v>211937.06445993032</v>
      </c>
      <c r="O74" s="61">
        <f t="shared" si="17"/>
        <v>1637.7381099107045</v>
      </c>
      <c r="Q74" s="30">
        <f>IF(B74/ROUNDUP(Model!$L$101,0)&gt;=1,1,B74/ROUNDUP(Model!$L$101,0))</f>
        <v>1</v>
      </c>
      <c r="R74" s="22">
        <f>IF(B74/ROUNDUP(Model!$L$101,0)&gt;1,0,1/ROUNDUP(Model!$L$101,0)*Model!$L$86*1000000000)</f>
        <v>0</v>
      </c>
      <c r="S74" s="22">
        <f>IF(B74/ROUNDUP(Model!$L$101,0)&gt;=1,Model!$L$92,B74/ROUNDUP(Model!$L$101,0)*Model!$L$92)*1000000</f>
        <v>2718130563.0983295</v>
      </c>
      <c r="T74" s="24">
        <f>(R74+S74)/POWER(1+Model!$L$94,(B74-1))</f>
        <v>650698845.95306718</v>
      </c>
      <c r="U74" s="39">
        <f t="shared" si="20"/>
        <v>83395796412.869568</v>
      </c>
      <c r="V74" s="12">
        <f>ROUNDUP(B74/Model!$L$30,0)</f>
        <v>8</v>
      </c>
      <c r="W74" s="12" t="b">
        <f>IF(MOD(B74,Model!$L$71)=0,TRUE,FALSE)</f>
        <v>0</v>
      </c>
      <c r="X74" s="12">
        <f t="shared" si="18"/>
        <v>8</v>
      </c>
      <c r="Y74" s="18">
        <f>Model!$L$27*POWER(1+Model!$L$31,X74-1)</f>
        <v>608259.375</v>
      </c>
      <c r="Z74" s="61">
        <f>Y74*Q74*Model!$L$34/1000000</f>
        <v>211937.06445993032</v>
      </c>
      <c r="AA74" s="61">
        <f t="shared" si="14"/>
        <v>2541.3398945276381</v>
      </c>
      <c r="AB74" s="1"/>
      <c r="AC74" s="30">
        <f t="shared" si="15"/>
        <v>0.55173765521411811</v>
      </c>
    </row>
    <row r="75" spans="2:29" x14ac:dyDescent="0.25">
      <c r="B75" s="12">
        <v>17</v>
      </c>
      <c r="C75" s="12">
        <v>2052</v>
      </c>
      <c r="D75" s="1"/>
      <c r="E75" s="30">
        <f>IF(B75/ROUNDUP(Model!$E$101,0)&gt;=1,1,B75/ROUNDUP(Model!$E$101,0))</f>
        <v>1</v>
      </c>
      <c r="F75" s="22">
        <f>IF(B75/ROUNDUP(Model!$E$101,0)&gt;1,0,1/ROUNDUP(Model!$E$101,0)*Model!$E$86*1000000000)</f>
        <v>0</v>
      </c>
      <c r="G75" s="22">
        <f>IF(B75/ROUNDUP(Model!$E$101,0)&gt;=1,Model!$E$92,B75/ROUNDUP(Model!$E$101,0)*Model!$E$92)*1000000</f>
        <v>8255359090.0364866</v>
      </c>
      <c r="H75" s="24">
        <f>(F75+G75)/POWER(1+Model!$E$94,(B75-1))</f>
        <v>1796606664.4019876</v>
      </c>
      <c r="I75" s="39">
        <f t="shared" si="19"/>
        <v>131205004244.82216</v>
      </c>
      <c r="J75" s="12">
        <f>ROUNDUP(B75/Model!$E$31,0)</f>
        <v>9</v>
      </c>
      <c r="K75" s="12" t="b">
        <f>IF(MOD(B75,Model!$E$62)=0,TRUE,FALSE)</f>
        <v>0</v>
      </c>
      <c r="L75" s="12">
        <f t="shared" si="16"/>
        <v>8</v>
      </c>
      <c r="M75" s="18">
        <f>Model!$E$27*POWER(1+Model!$E$32,L75-1)</f>
        <v>608259.375</v>
      </c>
      <c r="N75" s="61">
        <f>M75*E75*Model!$E$34/1000000</f>
        <v>211937.06445993032</v>
      </c>
      <c r="O75" s="61">
        <f t="shared" si="17"/>
        <v>1615.312355498774</v>
      </c>
      <c r="Q75" s="30">
        <f>IF(B75/ROUNDUP(Model!$L$101,0)&gt;=1,1,B75/ROUNDUP(Model!$L$101,0))</f>
        <v>1</v>
      </c>
      <c r="R75" s="22">
        <f>IF(B75/ROUNDUP(Model!$L$101,0)&gt;1,0,1/ROUNDUP(Model!$L$101,0)*Model!$L$86*1000000000)</f>
        <v>0</v>
      </c>
      <c r="S75" s="22">
        <f>IF(B75/ROUNDUP(Model!$L$101,0)&gt;=1,Model!$L$92,B75/ROUNDUP(Model!$L$101,0)*Model!$L$92)*1000000</f>
        <v>2718130563.0983295</v>
      </c>
      <c r="T75" s="24">
        <f>(R75+S75)/POWER(1+Model!$L$94,(B75-1))</f>
        <v>591544405.4118793</v>
      </c>
      <c r="U75" s="39">
        <f t="shared" si="20"/>
        <v>83987340818.281448</v>
      </c>
      <c r="V75" s="12">
        <f>ROUNDUP(B75/Model!$L$30,0)</f>
        <v>9</v>
      </c>
      <c r="W75" s="12" t="b">
        <f>IF(MOD(B75,Model!$L$71)=0,TRUE,FALSE)</f>
        <v>0</v>
      </c>
      <c r="X75" s="12">
        <f t="shared" si="18"/>
        <v>8</v>
      </c>
      <c r="Y75" s="18">
        <f>Model!$L$27*POWER(1+Model!$L$31,X75-1)</f>
        <v>608259.375</v>
      </c>
      <c r="Z75" s="61">
        <f>Y75*Q75*Model!$L$34/1000000</f>
        <v>211937.06445993032</v>
      </c>
      <c r="AA75" s="61">
        <f t="shared" si="14"/>
        <v>2523.4405851530205</v>
      </c>
      <c r="AB75" s="1"/>
      <c r="AC75" s="30">
        <f t="shared" si="15"/>
        <v>0.5621997668518024</v>
      </c>
    </row>
    <row r="76" spans="2:29" x14ac:dyDescent="0.25">
      <c r="B76" s="12">
        <v>18</v>
      </c>
      <c r="C76" s="12">
        <v>2053</v>
      </c>
      <c r="D76" s="1"/>
      <c r="E76" s="30">
        <f>IF(B76/ROUNDUP(Model!$E$101,0)&gt;=1,1,B76/ROUNDUP(Model!$E$101,0))</f>
        <v>1</v>
      </c>
      <c r="F76" s="22">
        <f>IF(B76/ROUNDUP(Model!$E$101,0)&gt;1,0,1/ROUNDUP(Model!$E$101,0)*Model!$E$86*1000000000)</f>
        <v>0</v>
      </c>
      <c r="G76" s="22">
        <f>IF(B76/ROUNDUP(Model!$E$101,0)&gt;=1,Model!$E$92,B76/ROUNDUP(Model!$E$101,0)*Model!$E$92)*1000000</f>
        <v>8255359090.0364866</v>
      </c>
      <c r="H76" s="24">
        <f>(F76+G76)/POWER(1+Model!$E$94,(B76-1))</f>
        <v>1633278785.8199887</v>
      </c>
      <c r="I76" s="39">
        <f t="shared" si="19"/>
        <v>132838283030.64215</v>
      </c>
      <c r="J76" s="12">
        <f>ROUNDUP(B76/Model!$E$31,0)</f>
        <v>9</v>
      </c>
      <c r="K76" s="12" t="b">
        <f>IF(MOD(B76,Model!$E$62)=0,TRUE,FALSE)</f>
        <v>0</v>
      </c>
      <c r="L76" s="12">
        <f t="shared" si="16"/>
        <v>8</v>
      </c>
      <c r="M76" s="18">
        <f>Model!$E$27*POWER(1+Model!$E$32,L76-1)</f>
        <v>608259.375</v>
      </c>
      <c r="N76" s="61">
        <f>M76*E76*Model!$E$34/1000000</f>
        <v>211937.06445993032</v>
      </c>
      <c r="O76" s="61">
        <f t="shared" si="17"/>
        <v>1595.4516998013462</v>
      </c>
      <c r="Q76" s="30">
        <f>IF(B76/ROUNDUP(Model!$L$101,0)&gt;=1,1,B76/ROUNDUP(Model!$L$101,0))</f>
        <v>1</v>
      </c>
      <c r="R76" s="22">
        <f>IF(B76/ROUNDUP(Model!$L$101,0)&gt;1,0,1/ROUNDUP(Model!$L$101,0)*Model!$L$86*1000000000)</f>
        <v>0</v>
      </c>
      <c r="S76" s="22">
        <f>IF(B76/ROUNDUP(Model!$L$101,0)&gt;=1,Model!$L$92,B76/ROUNDUP(Model!$L$101,0)*Model!$L$92)*1000000</f>
        <v>2718130563.0983295</v>
      </c>
      <c r="T76" s="24">
        <f>(R76+S76)/POWER(1+Model!$L$94,(B76-1))</f>
        <v>537767641.28352654</v>
      </c>
      <c r="U76" s="39">
        <f t="shared" si="20"/>
        <v>84525108459.564972</v>
      </c>
      <c r="V76" s="12">
        <f>ROUNDUP(B76/Model!$L$30,0)</f>
        <v>9</v>
      </c>
      <c r="W76" s="12" t="b">
        <f>IF(MOD(B76,Model!$L$71)=0,TRUE,FALSE)</f>
        <v>0</v>
      </c>
      <c r="X76" s="12">
        <f t="shared" si="18"/>
        <v>8</v>
      </c>
      <c r="Y76" s="18">
        <f>Model!$L$27*POWER(1+Model!$L$31,X76-1)</f>
        <v>608259.375</v>
      </c>
      <c r="Z76" s="61">
        <f>Y76*Q76*Model!$L$34/1000000</f>
        <v>211937.06445993032</v>
      </c>
      <c r="AA76" s="61">
        <f t="shared" si="14"/>
        <v>2507.3858918656879</v>
      </c>
      <c r="AB76" s="1"/>
      <c r="AC76" s="30">
        <f t="shared" si="15"/>
        <v>0.57158370396163605</v>
      </c>
    </row>
    <row r="77" spans="2:29" x14ac:dyDescent="0.25">
      <c r="B77" s="12">
        <v>19</v>
      </c>
      <c r="C77" s="12">
        <v>2054</v>
      </c>
      <c r="D77" s="1"/>
      <c r="E77" s="30">
        <f>IF(B77/ROUNDUP(Model!$E$101,0)&gt;=1,1,B77/ROUNDUP(Model!$E$101,0))</f>
        <v>1</v>
      </c>
      <c r="F77" s="22">
        <f>IF(B77/ROUNDUP(Model!$E$101,0)&gt;1,0,1/ROUNDUP(Model!$E$101,0)*Model!$E$86*1000000000)</f>
        <v>0</v>
      </c>
      <c r="G77" s="22">
        <f>IF(B77/ROUNDUP(Model!$E$101,0)&gt;=1,Model!$E$92,B77/ROUNDUP(Model!$E$101,0)*Model!$E$92)*1000000</f>
        <v>8255359090.0364866</v>
      </c>
      <c r="H77" s="24">
        <f>(F77+G77)/POWER(1+Model!$E$94,(B77-1))</f>
        <v>1484798896.1999896</v>
      </c>
      <c r="I77" s="39">
        <f t="shared" si="19"/>
        <v>134323081926.84215</v>
      </c>
      <c r="J77" s="12">
        <f>ROUNDUP(B77/Model!$E$31,0)</f>
        <v>10</v>
      </c>
      <c r="K77" s="12" t="b">
        <f>IF(MOD(B77,Model!$E$62)=0,TRUE,FALSE)</f>
        <v>0</v>
      </c>
      <c r="L77" s="12">
        <f t="shared" si="16"/>
        <v>8</v>
      </c>
      <c r="M77" s="18">
        <f>Model!$E$27*POWER(1+Model!$E$32,L77-1)</f>
        <v>608259.375</v>
      </c>
      <c r="N77" s="61">
        <f>M77*E77*Model!$E$34/1000000</f>
        <v>211937.06445993032</v>
      </c>
      <c r="O77" s="61">
        <f t="shared" si="17"/>
        <v>1577.8156770953181</v>
      </c>
      <c r="Q77" s="30">
        <f>IF(B77/ROUNDUP(Model!$L$101,0)&gt;=1,1,B77/ROUNDUP(Model!$L$101,0))</f>
        <v>1</v>
      </c>
      <c r="R77" s="22">
        <f>IF(B77/ROUNDUP(Model!$L$101,0)&gt;1,0,1/ROUNDUP(Model!$L$101,0)*Model!$L$86*1000000000)</f>
        <v>0</v>
      </c>
      <c r="S77" s="22">
        <f>IF(B77/ROUNDUP(Model!$L$101,0)&gt;=1,Model!$L$92,B77/ROUNDUP(Model!$L$101,0)*Model!$L$92)*1000000</f>
        <v>2718130563.0983295</v>
      </c>
      <c r="T77" s="24">
        <f>(R77+S77)/POWER(1+Model!$L$94,(B77-1))</f>
        <v>488879673.89411503</v>
      </c>
      <c r="U77" s="39">
        <f t="shared" si="20"/>
        <v>85013988133.459091</v>
      </c>
      <c r="V77" s="12">
        <f>ROUNDUP(B77/Model!$L$30,0)</f>
        <v>10</v>
      </c>
      <c r="W77" s="12" t="b">
        <f>IF(MOD(B77,Model!$L$71)=0,TRUE,FALSE)</f>
        <v>0</v>
      </c>
      <c r="X77" s="12">
        <f t="shared" si="18"/>
        <v>8</v>
      </c>
      <c r="Y77" s="18">
        <f>Model!$L$27*POWER(1+Model!$L$31,X77-1)</f>
        <v>608259.375</v>
      </c>
      <c r="Z77" s="61">
        <f>Y77*Q77*Model!$L$34/1000000</f>
        <v>211937.06445993032</v>
      </c>
      <c r="AA77" s="61">
        <f t="shared" si="14"/>
        <v>2492.9669706498325</v>
      </c>
      <c r="AB77" s="1"/>
      <c r="AC77" s="30">
        <f t="shared" si="15"/>
        <v>0.58001153546608408</v>
      </c>
    </row>
    <row r="78" spans="2:29" x14ac:dyDescent="0.25">
      <c r="B78" s="12">
        <v>20</v>
      </c>
      <c r="C78" s="12">
        <v>2055</v>
      </c>
      <c r="D78" s="1"/>
      <c r="E78" s="30">
        <f>IF(B78/ROUNDUP(Model!$E$101,0)&gt;=1,1,B78/ROUNDUP(Model!$E$101,0))</f>
        <v>1</v>
      </c>
      <c r="F78" s="22">
        <f>IF(B78/ROUNDUP(Model!$E$101,0)&gt;1,0,1/ROUNDUP(Model!$E$101,0)*Model!$E$86*1000000000)</f>
        <v>0</v>
      </c>
      <c r="G78" s="22">
        <f>IF(B78/ROUNDUP(Model!$E$101,0)&gt;=1,Model!$E$92,B78/ROUNDUP(Model!$E$101,0)*Model!$E$92)*1000000</f>
        <v>8255359090.0364866</v>
      </c>
      <c r="H78" s="24">
        <f>(F78+G78)/POWER(1+Model!$E$94,(B78-1))</f>
        <v>1349817178.3636267</v>
      </c>
      <c r="I78" s="39">
        <f t="shared" si="19"/>
        <v>135672899105.20578</v>
      </c>
      <c r="J78" s="12">
        <f>ROUNDUP(B78/Model!$E$31,0)</f>
        <v>10</v>
      </c>
      <c r="K78" s="12" t="b">
        <f>IF(MOD(B78,Model!$E$62)=0,TRUE,FALSE)</f>
        <v>1</v>
      </c>
      <c r="L78" s="12">
        <f t="shared" si="16"/>
        <v>10</v>
      </c>
      <c r="M78" s="18">
        <f>Model!$E$27*POWER(1+Model!$E$32,L78-1)</f>
        <v>1368583.59375</v>
      </c>
      <c r="N78" s="61">
        <f>M78*E78*Model!$E$34/1000000</f>
        <v>476858.39503484318</v>
      </c>
      <c r="O78" s="61">
        <f t="shared" si="17"/>
        <v>3514.7652786948229</v>
      </c>
      <c r="Q78" s="30">
        <f>IF(B78/ROUNDUP(Model!$L$101,0)&gt;=1,1,B78/ROUNDUP(Model!$L$101,0))</f>
        <v>1</v>
      </c>
      <c r="R78" s="22">
        <f>IF(B78/ROUNDUP(Model!$L$101,0)&gt;1,0,1/ROUNDUP(Model!$L$101,0)*Model!$L$86*1000000000)</f>
        <v>0</v>
      </c>
      <c r="S78" s="22">
        <f>IF(B78/ROUNDUP(Model!$L$101,0)&gt;=1,Model!$L$92,B78/ROUNDUP(Model!$L$101,0)*Model!$L$92)*1000000</f>
        <v>2718130563.0983295</v>
      </c>
      <c r="T78" s="24">
        <f>(R78+S78)/POWER(1+Model!$L$94,(B78-1))</f>
        <v>444436067.17646813</v>
      </c>
      <c r="U78" s="39">
        <f t="shared" si="20"/>
        <v>85458424200.635559</v>
      </c>
      <c r="V78" s="12">
        <f>ROUNDUP(B78/Model!$L$30,0)</f>
        <v>10</v>
      </c>
      <c r="W78" s="12" t="b">
        <f>IF(MOD(B78,Model!$L$71)=0,TRUE,FALSE)</f>
        <v>1</v>
      </c>
      <c r="X78" s="12">
        <f t="shared" si="18"/>
        <v>10</v>
      </c>
      <c r="Y78" s="18">
        <f>Model!$L$27*POWER(1+Model!$L$31,X78-1)</f>
        <v>1368583.59375</v>
      </c>
      <c r="Z78" s="61">
        <f>Y78*Q78*Model!$L$34/1000000</f>
        <v>476858.39503484318</v>
      </c>
      <c r="AA78" s="61">
        <f t="shared" si="14"/>
        <v>5580.0045401644174</v>
      </c>
      <c r="AB78" s="1"/>
      <c r="AC78" s="30">
        <f t="shared" si="15"/>
        <v>0.58758952524889596</v>
      </c>
    </row>
  </sheetData>
  <mergeCells count="6">
    <mergeCell ref="E56:O56"/>
    <mergeCell ref="Q56:AA56"/>
    <mergeCell ref="E4:O4"/>
    <mergeCell ref="Q4:AA4"/>
    <mergeCell ref="E30:O30"/>
    <mergeCell ref="Q30:AA30"/>
  </mergeCells>
  <conditionalFormatting sqref="G7:G26">
    <cfRule type="cellIs" dxfId="26" priority="34" operator="equal">
      <formula>"Aggressive"</formula>
    </cfRule>
    <cfRule type="cellIs" dxfId="25" priority="35" operator="equal">
      <formula>"Moderate"</formula>
    </cfRule>
    <cfRule type="cellIs" dxfId="24" priority="36" operator="equal">
      <formula>"Conservative"</formula>
    </cfRule>
  </conditionalFormatting>
  <conditionalFormatting sqref="G33:G52">
    <cfRule type="cellIs" dxfId="23" priority="19" operator="equal">
      <formula>"Aggressive"</formula>
    </cfRule>
    <cfRule type="cellIs" dxfId="22" priority="20" operator="equal">
      <formula>"Moderate"</formula>
    </cfRule>
    <cfRule type="cellIs" dxfId="21" priority="21" operator="equal">
      <formula>"Conservative"</formula>
    </cfRule>
  </conditionalFormatting>
  <conditionalFormatting sqref="G59:G78">
    <cfRule type="cellIs" dxfId="20" priority="7" operator="equal">
      <formula>"Aggressive"</formula>
    </cfRule>
    <cfRule type="cellIs" dxfId="19" priority="8" operator="equal">
      <formula>"Moderate"</formula>
    </cfRule>
    <cfRule type="cellIs" dxfId="18" priority="9" operator="equal">
      <formula>"Conservative"</formula>
    </cfRule>
  </conditionalFormatting>
  <conditionalFormatting sqref="S7:S26">
    <cfRule type="cellIs" dxfId="17" priority="28" operator="equal">
      <formula>"Aggressive"</formula>
    </cfRule>
    <cfRule type="cellIs" dxfId="16" priority="29" operator="equal">
      <formula>"Moderate"</formula>
    </cfRule>
    <cfRule type="cellIs" dxfId="15" priority="30" operator="equal">
      <formula>"Conservative"</formula>
    </cfRule>
  </conditionalFormatting>
  <conditionalFormatting sqref="S33:S52">
    <cfRule type="cellIs" dxfId="14" priority="16" operator="equal">
      <formula>"Aggressive"</formula>
    </cfRule>
    <cfRule type="cellIs" dxfId="13" priority="17" operator="equal">
      <formula>"Moderate"</formula>
    </cfRule>
    <cfRule type="cellIs" dxfId="12" priority="18" operator="equal">
      <formula>"Conservative"</formula>
    </cfRule>
  </conditionalFormatting>
  <conditionalFormatting sqref="S59:S78">
    <cfRule type="cellIs" dxfId="11" priority="4" operator="equal">
      <formula>"Aggressive"</formula>
    </cfRule>
    <cfRule type="cellIs" dxfId="10" priority="5" operator="equal">
      <formula>"Moderate"</formula>
    </cfRule>
    <cfRule type="cellIs" dxfId="9" priority="6" operator="equal">
      <formula>"Conservative"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4917-7B03-4098-81C9-E7A501DD0BC3}">
  <dimension ref="B1:O358"/>
  <sheetViews>
    <sheetView showGridLines="0" zoomScale="150" zoomScaleNormal="150" workbookViewId="0"/>
  </sheetViews>
  <sheetFormatPr defaultColWidth="9.140625" defaultRowHeight="15" outlineLevelRow="2" x14ac:dyDescent="0.25"/>
  <cols>
    <col min="1" max="1" width="2.85546875" style="1" customWidth="1"/>
    <col min="2" max="2" width="9.140625" style="1"/>
    <col min="3" max="3" width="12.42578125" style="1" bestFit="1" customWidth="1"/>
    <col min="4" max="6" width="10.42578125" style="1" bestFit="1" customWidth="1"/>
    <col min="7" max="16384" width="9.140625" style="1"/>
  </cols>
  <sheetData>
    <row r="1" spans="2:15" ht="60" customHeight="1" x14ac:dyDescent="0.25">
      <c r="O1" s="129" t="s">
        <v>801</v>
      </c>
    </row>
    <row r="2" spans="2:15" ht="18.75" x14ac:dyDescent="0.3">
      <c r="B2" s="74" t="s">
        <v>262</v>
      </c>
    </row>
    <row r="4" spans="2:15" x14ac:dyDescent="0.25">
      <c r="B4" s="76" t="s">
        <v>781</v>
      </c>
      <c r="C4" s="76"/>
      <c r="D4" s="76"/>
      <c r="E4" s="76"/>
      <c r="F4" s="76"/>
      <c r="G4" s="76"/>
      <c r="H4" s="76"/>
      <c r="I4" s="76"/>
      <c r="J4" s="76"/>
      <c r="K4" s="76"/>
      <c r="L4" s="76"/>
      <c r="M4" s="76"/>
      <c r="N4" s="76"/>
      <c r="O4" s="76"/>
    </row>
    <row r="6" spans="2:15" ht="30" x14ac:dyDescent="0.25">
      <c r="B6" s="198" t="s">
        <v>771</v>
      </c>
      <c r="C6" s="198"/>
      <c r="D6" s="77" t="s">
        <v>736</v>
      </c>
      <c r="E6" s="77" t="s">
        <v>119</v>
      </c>
      <c r="F6" s="77" t="s">
        <v>737</v>
      </c>
      <c r="G6" s="198" t="s">
        <v>629</v>
      </c>
      <c r="H6" s="198"/>
      <c r="I6" s="198"/>
      <c r="J6" s="198"/>
      <c r="K6" s="198"/>
      <c r="L6" s="198"/>
      <c r="M6" s="198"/>
      <c r="N6" s="198"/>
      <c r="O6" s="198"/>
    </row>
    <row r="7" spans="2:15" ht="30" customHeight="1" x14ac:dyDescent="0.25">
      <c r="B7" s="163" t="s">
        <v>82</v>
      </c>
      <c r="C7" s="163"/>
      <c r="D7" s="5">
        <v>1.3</v>
      </c>
      <c r="E7" s="5">
        <v>1.1000000000000001</v>
      </c>
      <c r="F7" s="5">
        <v>1.05</v>
      </c>
      <c r="G7" s="163" t="s">
        <v>286</v>
      </c>
      <c r="H7" s="163"/>
      <c r="I7" s="163"/>
      <c r="J7" s="163"/>
      <c r="K7" s="163"/>
      <c r="L7" s="163"/>
      <c r="M7" s="163"/>
      <c r="N7" s="163"/>
      <c r="O7" s="163"/>
    </row>
    <row r="8" spans="2:15" ht="30" customHeight="1" x14ac:dyDescent="0.25">
      <c r="B8" s="163" t="s">
        <v>303</v>
      </c>
      <c r="C8" s="163"/>
      <c r="D8" s="56">
        <v>0.06</v>
      </c>
      <c r="E8" s="56">
        <v>0.08</v>
      </c>
      <c r="F8" s="56">
        <v>0.1</v>
      </c>
      <c r="G8" s="163" t="s">
        <v>300</v>
      </c>
      <c r="H8" s="163"/>
      <c r="I8" s="163"/>
      <c r="J8" s="163"/>
      <c r="K8" s="163"/>
      <c r="L8" s="163"/>
      <c r="M8" s="163"/>
      <c r="N8" s="163"/>
      <c r="O8" s="163"/>
    </row>
    <row r="9" spans="2:15" ht="30" customHeight="1" x14ac:dyDescent="0.25">
      <c r="B9" s="163" t="s">
        <v>437</v>
      </c>
      <c r="C9" s="163"/>
      <c r="D9" s="55">
        <v>0.52</v>
      </c>
      <c r="E9" s="55">
        <v>0.52</v>
      </c>
      <c r="F9" s="55">
        <v>0.52</v>
      </c>
      <c r="G9" s="204" t="s">
        <v>440</v>
      </c>
      <c r="H9" s="207"/>
      <c r="I9" s="207"/>
      <c r="J9" s="207"/>
      <c r="K9" s="207"/>
      <c r="L9" s="207"/>
      <c r="M9" s="207"/>
      <c r="N9" s="207"/>
      <c r="O9" s="205"/>
    </row>
    <row r="10" spans="2:15" ht="30" customHeight="1" x14ac:dyDescent="0.25">
      <c r="B10" s="163" t="s">
        <v>394</v>
      </c>
      <c r="C10" s="163"/>
      <c r="D10" s="56">
        <v>0.36</v>
      </c>
      <c r="E10" s="56">
        <v>0.36</v>
      </c>
      <c r="F10" s="56">
        <v>0.36</v>
      </c>
      <c r="G10" s="208" t="s">
        <v>410</v>
      </c>
      <c r="H10" s="209"/>
      <c r="I10" s="209"/>
      <c r="J10" s="209"/>
      <c r="K10" s="209"/>
      <c r="L10" s="209"/>
      <c r="M10" s="209"/>
      <c r="N10" s="209"/>
      <c r="O10" s="210"/>
    </row>
    <row r="11" spans="2:15" ht="30" customHeight="1" x14ac:dyDescent="0.25">
      <c r="B11" s="204" t="s">
        <v>305</v>
      </c>
      <c r="C11" s="205"/>
      <c r="D11" s="78">
        <v>1.8</v>
      </c>
      <c r="E11" s="78">
        <v>0.2</v>
      </c>
      <c r="F11" s="78">
        <v>0</v>
      </c>
      <c r="G11" s="208" t="s">
        <v>319</v>
      </c>
      <c r="H11" s="209"/>
      <c r="I11" s="209"/>
      <c r="J11" s="209"/>
      <c r="K11" s="209"/>
      <c r="L11" s="209"/>
      <c r="M11" s="209"/>
      <c r="N11" s="209"/>
      <c r="O11" s="210"/>
    </row>
    <row r="12" spans="2:15" ht="30" customHeight="1" x14ac:dyDescent="0.25">
      <c r="B12" s="204" t="s">
        <v>304</v>
      </c>
      <c r="C12" s="205"/>
      <c r="D12" s="80">
        <v>6.13E-3</v>
      </c>
      <c r="E12" s="80">
        <v>7.11E-3</v>
      </c>
      <c r="F12" s="80">
        <v>8.2400000000000008E-3</v>
      </c>
      <c r="G12" s="208" t="s">
        <v>329</v>
      </c>
      <c r="H12" s="209"/>
      <c r="I12" s="209"/>
      <c r="J12" s="209"/>
      <c r="K12" s="209"/>
      <c r="L12" s="209"/>
      <c r="M12" s="209"/>
      <c r="N12" s="209"/>
      <c r="O12" s="210"/>
    </row>
    <row r="13" spans="2:15" x14ac:dyDescent="0.25">
      <c r="B13" s="163" t="s">
        <v>284</v>
      </c>
      <c r="C13" s="163"/>
      <c r="D13" s="56">
        <v>12</v>
      </c>
      <c r="E13" s="56">
        <v>14.6</v>
      </c>
      <c r="F13" s="56">
        <v>17.8</v>
      </c>
      <c r="G13" s="163" t="s">
        <v>285</v>
      </c>
      <c r="H13" s="163"/>
      <c r="I13" s="163"/>
      <c r="J13" s="163"/>
      <c r="K13" s="163"/>
      <c r="L13" s="163"/>
      <c r="M13" s="163"/>
      <c r="N13" s="163"/>
      <c r="O13" s="163"/>
    </row>
    <row r="14" spans="2:15" ht="30" customHeight="1" x14ac:dyDescent="0.25">
      <c r="B14" s="163" t="s">
        <v>393</v>
      </c>
      <c r="C14" s="163"/>
      <c r="D14" s="56">
        <v>0.36</v>
      </c>
      <c r="E14" s="56">
        <v>0.36</v>
      </c>
      <c r="F14" s="56">
        <v>0.36</v>
      </c>
      <c r="G14" s="208" t="s">
        <v>399</v>
      </c>
      <c r="H14" s="209"/>
      <c r="I14" s="209"/>
      <c r="J14" s="209"/>
      <c r="K14" s="209"/>
      <c r="L14" s="209"/>
      <c r="M14" s="209"/>
      <c r="N14" s="209"/>
      <c r="O14" s="210"/>
    </row>
    <row r="15" spans="2:15" ht="30" customHeight="1" x14ac:dyDescent="0.25">
      <c r="B15" s="163" t="s">
        <v>805</v>
      </c>
      <c r="C15" s="163"/>
      <c r="D15" s="56">
        <v>0.17</v>
      </c>
      <c r="E15" s="56">
        <f>D15*POWER(1.05,5)</f>
        <v>0.21696786562500003</v>
      </c>
      <c r="F15" s="56">
        <f>D15*POWER(1.05,10)</f>
        <v>0.27691208655216509</v>
      </c>
      <c r="G15" s="204" t="s">
        <v>419</v>
      </c>
      <c r="H15" s="207"/>
      <c r="I15" s="207"/>
      <c r="J15" s="207"/>
      <c r="K15" s="207"/>
      <c r="L15" s="207"/>
      <c r="M15" s="207"/>
      <c r="N15" s="207"/>
      <c r="O15" s="205"/>
    </row>
    <row r="16" spans="2:15" ht="45" customHeight="1" x14ac:dyDescent="0.25">
      <c r="B16" s="163" t="s">
        <v>728</v>
      </c>
      <c r="C16" s="163"/>
      <c r="D16" s="78">
        <v>3</v>
      </c>
      <c r="E16" s="78">
        <v>2</v>
      </c>
      <c r="F16" s="78">
        <v>1.5</v>
      </c>
      <c r="G16" s="204" t="s">
        <v>733</v>
      </c>
      <c r="H16" s="207"/>
      <c r="I16" s="207"/>
      <c r="J16" s="207"/>
      <c r="K16" s="207"/>
      <c r="L16" s="207"/>
      <c r="M16" s="207"/>
      <c r="N16" s="207"/>
      <c r="O16" s="205"/>
    </row>
    <row r="18" spans="2:15" x14ac:dyDescent="0.25">
      <c r="B18" s="135" t="s">
        <v>772</v>
      </c>
      <c r="C18" s="135"/>
      <c r="D18" s="135"/>
      <c r="E18" s="135"/>
      <c r="F18" s="135"/>
      <c r="G18" s="135"/>
      <c r="H18" s="135"/>
      <c r="I18" s="135"/>
      <c r="J18" s="135"/>
      <c r="K18" s="135"/>
      <c r="L18" s="135"/>
      <c r="M18" s="135"/>
      <c r="N18" s="135"/>
      <c r="O18" s="135"/>
    </row>
    <row r="19" spans="2:15" hidden="1" outlineLevel="1" x14ac:dyDescent="0.25"/>
    <row r="20" spans="2:15" hidden="1" outlineLevel="1" x14ac:dyDescent="0.25">
      <c r="B20" s="67" t="s">
        <v>89</v>
      </c>
    </row>
    <row r="21" spans="2:15" hidden="1" outlineLevel="1" x14ac:dyDescent="0.25">
      <c r="C21" s="1" t="s">
        <v>273</v>
      </c>
    </row>
    <row r="22" spans="2:15" hidden="1" outlineLevel="1" x14ac:dyDescent="0.25">
      <c r="C22" s="16" t="s">
        <v>275</v>
      </c>
    </row>
    <row r="23" spans="2:15" hidden="1" outlineLevel="1" x14ac:dyDescent="0.25">
      <c r="C23" s="1" t="s">
        <v>274</v>
      </c>
    </row>
    <row r="24" spans="2:15" hidden="1" outlineLevel="1" x14ac:dyDescent="0.25">
      <c r="C24" s="16" t="s">
        <v>279</v>
      </c>
    </row>
    <row r="25" spans="2:15" hidden="1" outlineLevel="1" x14ac:dyDescent="0.25">
      <c r="B25" s="75" t="s">
        <v>88</v>
      </c>
    </row>
    <row r="26" spans="2:15" hidden="1" outlineLevel="1" x14ac:dyDescent="0.25">
      <c r="C26" s="1" t="s">
        <v>276</v>
      </c>
    </row>
    <row r="27" spans="2:15" hidden="1" outlineLevel="1" x14ac:dyDescent="0.25">
      <c r="C27" s="16" t="s">
        <v>277</v>
      </c>
    </row>
    <row r="28" spans="2:15" hidden="1" outlineLevel="1" x14ac:dyDescent="0.25">
      <c r="C28" s="1" t="s">
        <v>278</v>
      </c>
    </row>
    <row r="29" spans="2:15" hidden="1" outlineLevel="1" x14ac:dyDescent="0.25">
      <c r="B29" s="66" t="s">
        <v>167</v>
      </c>
    </row>
    <row r="30" spans="2:15" hidden="1" outlineLevel="1" x14ac:dyDescent="0.25">
      <c r="C30" s="1" t="s">
        <v>280</v>
      </c>
    </row>
    <row r="31" spans="2:15" hidden="1" outlineLevel="1" x14ac:dyDescent="0.25">
      <c r="C31" s="1" t="s">
        <v>281</v>
      </c>
    </row>
    <row r="32" spans="2:15" hidden="1" outlineLevel="1" x14ac:dyDescent="0.25">
      <c r="C32" s="1" t="s">
        <v>282</v>
      </c>
    </row>
    <row r="33" spans="2:15" hidden="1" outlineLevel="1" x14ac:dyDescent="0.25">
      <c r="C33" s="16" t="s">
        <v>283</v>
      </c>
    </row>
    <row r="34" spans="2:15" collapsed="1" x14ac:dyDescent="0.25"/>
    <row r="35" spans="2:15" x14ac:dyDescent="0.25">
      <c r="B35" s="135" t="s">
        <v>773</v>
      </c>
      <c r="C35" s="135"/>
      <c r="D35" s="135"/>
      <c r="E35" s="135"/>
      <c r="F35" s="135"/>
      <c r="G35" s="135"/>
      <c r="H35" s="135"/>
      <c r="I35" s="135"/>
      <c r="J35" s="135"/>
      <c r="K35" s="135"/>
      <c r="L35" s="135"/>
      <c r="M35" s="135"/>
      <c r="N35" s="135"/>
      <c r="O35" s="135"/>
    </row>
    <row r="36" spans="2:15" hidden="1" outlineLevel="1" x14ac:dyDescent="0.25"/>
    <row r="37" spans="2:15" hidden="1" outlineLevel="1" x14ac:dyDescent="0.25">
      <c r="B37" s="67" t="s">
        <v>287</v>
      </c>
    </row>
    <row r="38" spans="2:15" hidden="1" outlineLevel="1" x14ac:dyDescent="0.25">
      <c r="C38" s="1" t="s">
        <v>288</v>
      </c>
    </row>
    <row r="39" spans="2:15" hidden="1" outlineLevel="1" x14ac:dyDescent="0.25">
      <c r="C39" s="1" t="s">
        <v>297</v>
      </c>
    </row>
    <row r="40" spans="2:15" hidden="1" outlineLevel="1" x14ac:dyDescent="0.25">
      <c r="B40" s="66" t="s">
        <v>289</v>
      </c>
    </row>
    <row r="41" spans="2:15" hidden="1" outlineLevel="1" x14ac:dyDescent="0.25">
      <c r="C41" s="1" t="s">
        <v>290</v>
      </c>
    </row>
    <row r="42" spans="2:15" hidden="1" outlineLevel="1" x14ac:dyDescent="0.25">
      <c r="C42" s="1" t="s">
        <v>291</v>
      </c>
    </row>
    <row r="43" spans="2:15" hidden="1" outlineLevel="1" x14ac:dyDescent="0.25">
      <c r="B43" s="66" t="s">
        <v>292</v>
      </c>
    </row>
    <row r="44" spans="2:15" hidden="1" outlineLevel="1" x14ac:dyDescent="0.25">
      <c r="C44" s="1" t="s">
        <v>293</v>
      </c>
    </row>
    <row r="45" spans="2:15" hidden="1" outlineLevel="1" x14ac:dyDescent="0.25">
      <c r="D45" s="1" t="s">
        <v>294</v>
      </c>
    </row>
    <row r="46" spans="2:15" hidden="1" outlineLevel="1" x14ac:dyDescent="0.25">
      <c r="D46" s="1" t="s">
        <v>295</v>
      </c>
    </row>
    <row r="47" spans="2:15" hidden="1" outlineLevel="1" x14ac:dyDescent="0.25">
      <c r="B47" s="16" t="s">
        <v>296</v>
      </c>
    </row>
    <row r="48" spans="2:15" hidden="1" outlineLevel="1" x14ac:dyDescent="0.25">
      <c r="C48" s="1" t="s">
        <v>298</v>
      </c>
    </row>
    <row r="49" spans="2:15" hidden="1" outlineLevel="1" x14ac:dyDescent="0.25">
      <c r="C49" s="1" t="s">
        <v>299</v>
      </c>
    </row>
    <row r="50" spans="2:15" collapsed="1" x14ac:dyDescent="0.25"/>
    <row r="51" spans="2:15" x14ac:dyDescent="0.25">
      <c r="B51" s="135" t="s">
        <v>774</v>
      </c>
      <c r="C51" s="135"/>
      <c r="D51" s="135"/>
      <c r="E51" s="135"/>
      <c r="F51" s="135"/>
      <c r="G51" s="135"/>
      <c r="H51" s="135"/>
      <c r="I51" s="135"/>
      <c r="J51" s="135"/>
      <c r="K51" s="135"/>
      <c r="L51" s="135"/>
      <c r="M51" s="135"/>
      <c r="N51" s="135"/>
      <c r="O51" s="135"/>
    </row>
    <row r="52" spans="2:15" hidden="1" outlineLevel="1" x14ac:dyDescent="0.25"/>
    <row r="53" spans="2:15" hidden="1" outlineLevel="1" x14ac:dyDescent="0.25">
      <c r="B53" s="66" t="s">
        <v>95</v>
      </c>
    </row>
    <row r="54" spans="2:15" hidden="1" outlineLevel="1" x14ac:dyDescent="0.25">
      <c r="C54" s="1" t="s">
        <v>425</v>
      </c>
    </row>
    <row r="55" spans="2:15" hidden="1" outlineLevel="1" x14ac:dyDescent="0.25">
      <c r="D55" s="1" t="s">
        <v>426</v>
      </c>
    </row>
    <row r="56" spans="2:15" hidden="1" outlineLevel="1" x14ac:dyDescent="0.25">
      <c r="D56" s="1" t="s">
        <v>427</v>
      </c>
    </row>
    <row r="57" spans="2:15" hidden="1" outlineLevel="1" x14ac:dyDescent="0.25">
      <c r="D57" s="1" t="s">
        <v>428</v>
      </c>
    </row>
    <row r="58" spans="2:15" hidden="1" outlineLevel="1" x14ac:dyDescent="0.25">
      <c r="D58" s="1" t="s">
        <v>429</v>
      </c>
    </row>
    <row r="59" spans="2:15" hidden="1" outlineLevel="1" x14ac:dyDescent="0.25">
      <c r="D59" s="16" t="s">
        <v>430</v>
      </c>
    </row>
    <row r="60" spans="2:15" hidden="1" outlineLevel="1" x14ac:dyDescent="0.25"/>
    <row r="61" spans="2:15" hidden="1" outlineLevel="1" x14ac:dyDescent="0.25">
      <c r="B61" s="66" t="s">
        <v>164</v>
      </c>
    </row>
    <row r="62" spans="2:15" hidden="1" outlineLevel="1" x14ac:dyDescent="0.25">
      <c r="C62" s="1" t="s">
        <v>431</v>
      </c>
    </row>
    <row r="63" spans="2:15" hidden="1" outlineLevel="1" x14ac:dyDescent="0.25">
      <c r="D63" s="1" t="s">
        <v>432</v>
      </c>
    </row>
    <row r="64" spans="2:15" hidden="1" outlineLevel="1" x14ac:dyDescent="0.25">
      <c r="D64" s="16" t="s">
        <v>433</v>
      </c>
    </row>
    <row r="65" spans="2:15" hidden="1" outlineLevel="1" x14ac:dyDescent="0.25"/>
    <row r="66" spans="2:15" hidden="1" outlineLevel="1" x14ac:dyDescent="0.25">
      <c r="B66" s="66" t="s">
        <v>165</v>
      </c>
    </row>
    <row r="67" spans="2:15" hidden="1" outlineLevel="1" x14ac:dyDescent="0.25">
      <c r="C67" s="1" t="s">
        <v>438</v>
      </c>
    </row>
    <row r="68" spans="2:15" hidden="1" outlineLevel="1" x14ac:dyDescent="0.25">
      <c r="D68" s="1" t="s">
        <v>434</v>
      </c>
    </row>
    <row r="69" spans="2:15" hidden="1" outlineLevel="1" x14ac:dyDescent="0.25">
      <c r="D69" s="16" t="s">
        <v>435</v>
      </c>
    </row>
    <row r="70" spans="2:15" hidden="1" outlineLevel="1" x14ac:dyDescent="0.25"/>
    <row r="71" spans="2:15" hidden="1" outlineLevel="1" x14ac:dyDescent="0.25">
      <c r="B71" s="90" t="s">
        <v>436</v>
      </c>
    </row>
    <row r="72" spans="2:15" hidden="1" outlineLevel="1" x14ac:dyDescent="0.25">
      <c r="C72" s="1" t="s">
        <v>868</v>
      </c>
    </row>
    <row r="73" spans="2:15" hidden="1" outlineLevel="1" x14ac:dyDescent="0.25">
      <c r="C73" s="1" t="s">
        <v>439</v>
      </c>
    </row>
    <row r="74" spans="2:15" collapsed="1" x14ac:dyDescent="0.25"/>
    <row r="75" spans="2:15" x14ac:dyDescent="0.25">
      <c r="B75" s="135" t="s">
        <v>775</v>
      </c>
      <c r="C75" s="135"/>
      <c r="D75" s="135"/>
      <c r="E75" s="135"/>
      <c r="F75" s="135"/>
      <c r="G75" s="135"/>
      <c r="H75" s="135"/>
      <c r="I75" s="135"/>
      <c r="J75" s="135"/>
      <c r="K75" s="135"/>
      <c r="L75" s="135"/>
      <c r="M75" s="135"/>
      <c r="N75" s="135"/>
      <c r="O75" s="135"/>
    </row>
    <row r="76" spans="2:15" hidden="1" outlineLevel="1" x14ac:dyDescent="0.25"/>
    <row r="77" spans="2:15" hidden="1" outlineLevel="1" x14ac:dyDescent="0.25">
      <c r="B77" s="1" t="s">
        <v>869</v>
      </c>
    </row>
    <row r="78" spans="2:15" hidden="1" outlineLevel="1" x14ac:dyDescent="0.25">
      <c r="C78" s="1" t="s">
        <v>870</v>
      </c>
    </row>
    <row r="79" spans="2:15" hidden="1" outlineLevel="1" x14ac:dyDescent="0.25"/>
    <row r="80" spans="2:15" hidden="1" outlineLevel="1" x14ac:dyDescent="0.25">
      <c r="B80" s="67" t="s">
        <v>95</v>
      </c>
    </row>
    <row r="81" spans="3:11" hidden="1" outlineLevel="1" x14ac:dyDescent="0.25">
      <c r="C81" s="1" t="s">
        <v>346</v>
      </c>
    </row>
    <row r="82" spans="3:11" ht="30" hidden="1" outlineLevel="1" x14ac:dyDescent="0.25">
      <c r="D82" s="198" t="s">
        <v>169</v>
      </c>
      <c r="E82" s="198"/>
      <c r="F82" s="198"/>
      <c r="G82" s="77" t="s">
        <v>331</v>
      </c>
      <c r="H82" s="77" t="s">
        <v>332</v>
      </c>
      <c r="I82" s="77" t="s">
        <v>333</v>
      </c>
      <c r="J82" s="77" t="s">
        <v>349</v>
      </c>
    </row>
    <row r="83" spans="3:11" hidden="1" outlineLevel="1" x14ac:dyDescent="0.25">
      <c r="D83" s="160" t="s">
        <v>168</v>
      </c>
      <c r="E83" s="160"/>
      <c r="F83" s="160"/>
      <c r="G83" s="6">
        <v>0.41</v>
      </c>
      <c r="H83" s="6">
        <v>1.31</v>
      </c>
      <c r="I83" s="6">
        <v>0.86</v>
      </c>
      <c r="J83" s="4">
        <f t="shared" ref="J83:J88" si="0">I83/$I$89</f>
        <v>0.11241830065359476</v>
      </c>
    </row>
    <row r="84" spans="3:11" hidden="1" outlineLevel="1" x14ac:dyDescent="0.25">
      <c r="D84" s="160" t="s">
        <v>334</v>
      </c>
      <c r="E84" s="160"/>
      <c r="F84" s="160"/>
      <c r="G84" s="6">
        <v>4.17</v>
      </c>
      <c r="H84" s="6">
        <v>8</v>
      </c>
      <c r="I84" s="6">
        <v>6.09</v>
      </c>
      <c r="J84" s="4">
        <f t="shared" si="0"/>
        <v>0.79607843137254897</v>
      </c>
      <c r="K84" s="60"/>
    </row>
    <row r="85" spans="3:11" hidden="1" outlineLevel="1" x14ac:dyDescent="0.25">
      <c r="D85" s="160" t="s">
        <v>335</v>
      </c>
      <c r="E85" s="160"/>
      <c r="F85" s="160"/>
      <c r="G85" s="6">
        <v>0.1</v>
      </c>
      <c r="H85" s="6">
        <v>0.25</v>
      </c>
      <c r="I85" s="6">
        <v>0.18</v>
      </c>
      <c r="J85" s="4">
        <f t="shared" si="0"/>
        <v>2.3529411764705882E-2</v>
      </c>
    </row>
    <row r="86" spans="3:11" hidden="1" outlineLevel="1" x14ac:dyDescent="0.25">
      <c r="D86" s="160" t="s">
        <v>171</v>
      </c>
      <c r="E86" s="160"/>
      <c r="F86" s="160"/>
      <c r="G86" s="6">
        <v>0.1</v>
      </c>
      <c r="H86" s="6">
        <v>0.25</v>
      </c>
      <c r="I86" s="6">
        <v>0.18</v>
      </c>
      <c r="J86" s="4">
        <f t="shared" si="0"/>
        <v>2.3529411764705882E-2</v>
      </c>
    </row>
    <row r="87" spans="3:11" hidden="1" outlineLevel="1" x14ac:dyDescent="0.25">
      <c r="D87" s="160" t="s">
        <v>172</v>
      </c>
      <c r="E87" s="160"/>
      <c r="F87" s="160"/>
      <c r="G87" s="6">
        <v>0.1</v>
      </c>
      <c r="H87" s="6">
        <v>0.25</v>
      </c>
      <c r="I87" s="6">
        <v>0.18</v>
      </c>
      <c r="J87" s="4">
        <f t="shared" si="0"/>
        <v>2.3529411764705882E-2</v>
      </c>
    </row>
    <row r="88" spans="3:11" hidden="1" outlineLevel="1" x14ac:dyDescent="0.25">
      <c r="D88" s="160" t="s">
        <v>173</v>
      </c>
      <c r="E88" s="160"/>
      <c r="F88" s="160"/>
      <c r="G88" s="6">
        <v>0.1</v>
      </c>
      <c r="H88" s="6">
        <v>0.25</v>
      </c>
      <c r="I88" s="6">
        <v>0.18</v>
      </c>
      <c r="J88" s="4">
        <f t="shared" si="0"/>
        <v>2.3529411764705882E-2</v>
      </c>
    </row>
    <row r="89" spans="3:11" hidden="1" outlineLevel="1" x14ac:dyDescent="0.25">
      <c r="D89" s="16" t="s">
        <v>336</v>
      </c>
      <c r="I89" s="82">
        <v>7.65</v>
      </c>
    </row>
    <row r="90" spans="3:11" hidden="1" outlineLevel="1" x14ac:dyDescent="0.25">
      <c r="C90" s="1" t="s">
        <v>340</v>
      </c>
    </row>
    <row r="91" spans="3:11" hidden="1" outlineLevel="1" x14ac:dyDescent="0.25">
      <c r="D91" s="211" t="s">
        <v>169</v>
      </c>
      <c r="E91" s="212"/>
      <c r="F91" s="213"/>
      <c r="G91" s="77" t="s">
        <v>333</v>
      </c>
      <c r="H91" s="77" t="s">
        <v>350</v>
      </c>
      <c r="I91" s="60" t="s">
        <v>337</v>
      </c>
    </row>
    <row r="92" spans="3:11" hidden="1" outlineLevel="1" x14ac:dyDescent="0.25">
      <c r="D92" s="160" t="s">
        <v>168</v>
      </c>
      <c r="E92" s="160"/>
      <c r="F92" s="160"/>
      <c r="G92" s="6">
        <v>0.86</v>
      </c>
      <c r="H92" s="4">
        <f>G92/$G$97</f>
        <v>0.54430379746835444</v>
      </c>
      <c r="I92" s="60" t="s">
        <v>177</v>
      </c>
    </row>
    <row r="93" spans="3:11" hidden="1" outlineLevel="1" x14ac:dyDescent="0.25">
      <c r="D93" s="160" t="s">
        <v>335</v>
      </c>
      <c r="E93" s="160"/>
      <c r="F93" s="160"/>
      <c r="G93" s="6">
        <v>0.18</v>
      </c>
      <c r="H93" s="4">
        <f>G93/$G$97</f>
        <v>0.1139240506329114</v>
      </c>
      <c r="I93" s="60" t="s">
        <v>339</v>
      </c>
    </row>
    <row r="94" spans="3:11" hidden="1" outlineLevel="1" x14ac:dyDescent="0.25">
      <c r="D94" s="160" t="s">
        <v>171</v>
      </c>
      <c r="E94" s="160"/>
      <c r="F94" s="160"/>
      <c r="G94" s="6">
        <v>0.18</v>
      </c>
      <c r="H94" s="4">
        <f>G94/$G$97</f>
        <v>0.1139240506329114</v>
      </c>
      <c r="I94" s="60" t="s">
        <v>339</v>
      </c>
    </row>
    <row r="95" spans="3:11" hidden="1" outlineLevel="1" x14ac:dyDescent="0.25">
      <c r="D95" s="160" t="s">
        <v>172</v>
      </c>
      <c r="E95" s="160"/>
      <c r="F95" s="160"/>
      <c r="G95" s="6">
        <v>0.18</v>
      </c>
      <c r="H95" s="4">
        <f>G95/$G$97</f>
        <v>0.1139240506329114</v>
      </c>
      <c r="I95" s="60" t="s">
        <v>338</v>
      </c>
    </row>
    <row r="96" spans="3:11" hidden="1" outlineLevel="1" x14ac:dyDescent="0.25">
      <c r="D96" s="160" t="s">
        <v>173</v>
      </c>
      <c r="E96" s="160"/>
      <c r="F96" s="160"/>
      <c r="G96" s="6">
        <v>0.18</v>
      </c>
      <c r="H96" s="4">
        <f>G96/$G$97</f>
        <v>0.1139240506329114</v>
      </c>
      <c r="I96" s="60" t="s">
        <v>338</v>
      </c>
    </row>
    <row r="97" spans="2:12" hidden="1" outlineLevel="1" x14ac:dyDescent="0.25">
      <c r="D97" s="16" t="s">
        <v>336</v>
      </c>
      <c r="G97" s="64">
        <f>SUM(G92:G96)</f>
        <v>1.5799999999999998</v>
      </c>
    </row>
    <row r="98" spans="2:12" hidden="1" outlineLevel="1" x14ac:dyDescent="0.25">
      <c r="C98" s="1" t="s">
        <v>341</v>
      </c>
    </row>
    <row r="99" spans="2:12" hidden="1" outlineLevel="1" x14ac:dyDescent="0.25">
      <c r="D99" s="83" t="s">
        <v>344</v>
      </c>
      <c r="E99" s="83" t="s">
        <v>70</v>
      </c>
      <c r="F99" s="83" t="s">
        <v>2</v>
      </c>
      <c r="G99" s="190" t="s">
        <v>345</v>
      </c>
      <c r="H99" s="190"/>
      <c r="I99" s="190"/>
      <c r="J99" s="190"/>
    </row>
    <row r="100" spans="2:12" hidden="1" outlineLevel="1" x14ac:dyDescent="0.25">
      <c r="D100" s="2" t="s">
        <v>177</v>
      </c>
      <c r="E100" s="84">
        <f>G92</f>
        <v>0.86</v>
      </c>
      <c r="F100" s="2" t="s">
        <v>14</v>
      </c>
      <c r="G100" s="160" t="s">
        <v>369</v>
      </c>
      <c r="H100" s="160"/>
      <c r="I100" s="160"/>
      <c r="J100" s="160"/>
    </row>
    <row r="101" spans="2:12" hidden="1" outlineLevel="1" x14ac:dyDescent="0.25">
      <c r="D101" s="2" t="s">
        <v>338</v>
      </c>
      <c r="E101" s="84">
        <f>G95+G96</f>
        <v>0.36</v>
      </c>
      <c r="F101" s="2" t="s">
        <v>14</v>
      </c>
      <c r="G101" s="160" t="s">
        <v>343</v>
      </c>
      <c r="H101" s="160"/>
      <c r="I101" s="160"/>
      <c r="J101" s="160"/>
    </row>
    <row r="102" spans="2:12" hidden="1" outlineLevel="1" x14ac:dyDescent="0.25">
      <c r="D102" s="2" t="s">
        <v>339</v>
      </c>
      <c r="E102" s="84">
        <f>G93+G94</f>
        <v>0.36</v>
      </c>
      <c r="F102" s="2" t="s">
        <v>14</v>
      </c>
      <c r="G102" s="160" t="s">
        <v>342</v>
      </c>
      <c r="H102" s="160"/>
      <c r="I102" s="160"/>
      <c r="J102" s="160"/>
    </row>
    <row r="103" spans="2:12" hidden="1" outlineLevel="1" x14ac:dyDescent="0.25"/>
    <row r="104" spans="2:12" hidden="1" outlineLevel="1" x14ac:dyDescent="0.25">
      <c r="B104" s="85" t="s">
        <v>91</v>
      </c>
    </row>
    <row r="105" spans="2:12" hidden="1" outlineLevel="1" x14ac:dyDescent="0.25">
      <c r="C105" s="1" t="s">
        <v>347</v>
      </c>
    </row>
    <row r="106" spans="2:12" hidden="1" outlineLevel="1" x14ac:dyDescent="0.25">
      <c r="C106" s="1" t="s">
        <v>348</v>
      </c>
    </row>
    <row r="107" spans="2:12" hidden="1" outlineLevel="1" x14ac:dyDescent="0.25">
      <c r="C107" s="1" t="s">
        <v>353</v>
      </c>
    </row>
    <row r="108" spans="2:12" hidden="1" outlineLevel="1" x14ac:dyDescent="0.25">
      <c r="D108" s="190" t="s">
        <v>169</v>
      </c>
      <c r="E108" s="190"/>
      <c r="F108" s="190"/>
      <c r="G108" s="190"/>
      <c r="H108" s="83" t="s">
        <v>349</v>
      </c>
      <c r="I108" s="190" t="s">
        <v>351</v>
      </c>
      <c r="J108" s="190"/>
      <c r="K108" s="190"/>
    </row>
    <row r="109" spans="2:12" hidden="1" outlineLevel="1" x14ac:dyDescent="0.25">
      <c r="D109" s="160" t="s">
        <v>174</v>
      </c>
      <c r="E109" s="160"/>
      <c r="F109" s="160"/>
      <c r="G109" s="160"/>
      <c r="H109" s="4">
        <v>0.4</v>
      </c>
      <c r="I109" s="206">
        <f>J84+J85</f>
        <v>0.81960784313725488</v>
      </c>
      <c r="J109" s="160"/>
      <c r="K109" s="160"/>
      <c r="L109" s="1" t="s">
        <v>352</v>
      </c>
    </row>
    <row r="110" spans="2:12" hidden="1" outlineLevel="1" x14ac:dyDescent="0.25">
      <c r="D110" s="160" t="s">
        <v>168</v>
      </c>
      <c r="E110" s="160"/>
      <c r="F110" s="160"/>
      <c r="G110" s="160"/>
      <c r="H110" s="4">
        <v>0.2</v>
      </c>
      <c r="I110" s="206">
        <f>J83</f>
        <v>0.11241830065359476</v>
      </c>
      <c r="J110" s="160"/>
      <c r="K110" s="160"/>
    </row>
    <row r="111" spans="2:12" hidden="1" outlineLevel="1" x14ac:dyDescent="0.25">
      <c r="D111" s="160" t="s">
        <v>175</v>
      </c>
      <c r="E111" s="160"/>
      <c r="F111" s="160"/>
      <c r="G111" s="160"/>
      <c r="H111" s="4">
        <v>0.4</v>
      </c>
      <c r="I111" s="206">
        <f>SUM(J86:J88)</f>
        <v>7.0588235294117646E-2</v>
      </c>
      <c r="J111" s="160"/>
      <c r="K111" s="160"/>
    </row>
    <row r="112" spans="2:12" hidden="1" outlineLevel="1" x14ac:dyDescent="0.25">
      <c r="C112" s="87" t="s">
        <v>354</v>
      </c>
    </row>
    <row r="113" spans="2:13" hidden="1" outlineLevel="1" x14ac:dyDescent="0.25"/>
    <row r="114" spans="2:13" hidden="1" outlineLevel="1" x14ac:dyDescent="0.25">
      <c r="B114" s="68" t="s">
        <v>166</v>
      </c>
    </row>
    <row r="115" spans="2:13" hidden="1" outlineLevel="1" x14ac:dyDescent="0.25">
      <c r="C115" s="1" t="s">
        <v>176</v>
      </c>
    </row>
    <row r="116" spans="2:13" hidden="1" outlineLevel="1" x14ac:dyDescent="0.25">
      <c r="C116" s="1" t="s">
        <v>353</v>
      </c>
    </row>
    <row r="117" spans="2:13" hidden="1" outlineLevel="1" x14ac:dyDescent="0.25">
      <c r="D117" s="190" t="s">
        <v>169</v>
      </c>
      <c r="E117" s="190"/>
      <c r="F117" s="190"/>
      <c r="G117" s="190"/>
      <c r="H117" s="190"/>
      <c r="I117" s="83" t="s">
        <v>349</v>
      </c>
      <c r="J117" s="190" t="s">
        <v>351</v>
      </c>
      <c r="K117" s="190"/>
      <c r="L117" s="190"/>
    </row>
    <row r="118" spans="2:13" hidden="1" outlineLevel="1" x14ac:dyDescent="0.25">
      <c r="D118" s="160" t="s">
        <v>177</v>
      </c>
      <c r="E118" s="160"/>
      <c r="F118" s="160"/>
      <c r="G118" s="160"/>
      <c r="H118" s="160"/>
      <c r="I118" s="4">
        <v>0.17</v>
      </c>
      <c r="J118" s="201">
        <v>0.55000000000000004</v>
      </c>
      <c r="K118" s="202"/>
      <c r="L118" s="203"/>
    </row>
    <row r="119" spans="2:13" hidden="1" outlineLevel="1" x14ac:dyDescent="0.25">
      <c r="D119" s="160" t="s">
        <v>174</v>
      </c>
      <c r="E119" s="160"/>
      <c r="F119" s="160"/>
      <c r="G119" s="160"/>
      <c r="H119" s="160"/>
      <c r="I119" s="4">
        <v>0.17</v>
      </c>
      <c r="J119" s="201">
        <v>0.11</v>
      </c>
      <c r="K119" s="202"/>
      <c r="L119" s="203"/>
    </row>
    <row r="120" spans="2:13" hidden="1" outlineLevel="1" x14ac:dyDescent="0.25">
      <c r="D120" s="160" t="s">
        <v>178</v>
      </c>
      <c r="E120" s="160"/>
      <c r="F120" s="160"/>
      <c r="G120" s="160"/>
      <c r="H120" s="160"/>
      <c r="I120" s="4">
        <v>0.16</v>
      </c>
      <c r="J120" s="201">
        <v>0.11</v>
      </c>
      <c r="K120" s="202"/>
      <c r="L120" s="203"/>
    </row>
    <row r="121" spans="2:13" hidden="1" outlineLevel="1" x14ac:dyDescent="0.25">
      <c r="D121" s="160" t="s">
        <v>179</v>
      </c>
      <c r="E121" s="160"/>
      <c r="F121" s="160"/>
      <c r="G121" s="160"/>
      <c r="H121" s="160"/>
      <c r="I121" s="4">
        <v>0.16</v>
      </c>
      <c r="J121" s="201"/>
      <c r="K121" s="202"/>
      <c r="L121" s="203"/>
      <c r="M121" s="1" t="s">
        <v>355</v>
      </c>
    </row>
    <row r="122" spans="2:13" hidden="1" outlineLevel="1" x14ac:dyDescent="0.25">
      <c r="D122" s="160" t="s">
        <v>180</v>
      </c>
      <c r="E122" s="160"/>
      <c r="F122" s="160"/>
      <c r="G122" s="160"/>
      <c r="H122" s="160"/>
      <c r="I122" s="4">
        <v>0.16</v>
      </c>
      <c r="J122" s="201">
        <v>0.11</v>
      </c>
      <c r="K122" s="202"/>
      <c r="L122" s="203"/>
    </row>
    <row r="123" spans="2:13" hidden="1" outlineLevel="1" x14ac:dyDescent="0.25">
      <c r="D123" s="160" t="s">
        <v>181</v>
      </c>
      <c r="E123" s="160"/>
      <c r="F123" s="160"/>
      <c r="G123" s="160"/>
      <c r="H123" s="160"/>
      <c r="I123" s="4">
        <v>0.15</v>
      </c>
      <c r="J123" s="201">
        <v>0.11</v>
      </c>
      <c r="K123" s="202"/>
      <c r="L123" s="203"/>
    </row>
    <row r="124" spans="2:13" hidden="1" outlineLevel="1" x14ac:dyDescent="0.25"/>
    <row r="125" spans="2:13" hidden="1" outlineLevel="1" x14ac:dyDescent="0.25">
      <c r="B125" s="73" t="s">
        <v>182</v>
      </c>
    </row>
    <row r="126" spans="2:13" hidden="1" outlineLevel="1" x14ac:dyDescent="0.25">
      <c r="B126" s="73"/>
      <c r="C126" s="1" t="s">
        <v>356</v>
      </c>
    </row>
    <row r="127" spans="2:13" hidden="1" outlineLevel="1" x14ac:dyDescent="0.25">
      <c r="C127" s="1" t="s">
        <v>357</v>
      </c>
    </row>
    <row r="128" spans="2:13" hidden="1" outlineLevel="1" x14ac:dyDescent="0.25">
      <c r="C128" s="1" t="s">
        <v>358</v>
      </c>
    </row>
    <row r="129" spans="3:15" hidden="1" outlineLevel="1" x14ac:dyDescent="0.25">
      <c r="C129" s="1" t="s">
        <v>359</v>
      </c>
    </row>
    <row r="130" spans="3:15" hidden="1" outlineLevel="1" x14ac:dyDescent="0.25">
      <c r="C130" s="1" t="s">
        <v>360</v>
      </c>
    </row>
    <row r="131" spans="3:15" ht="45" hidden="1" outlineLevel="1" x14ac:dyDescent="0.25">
      <c r="D131" s="190" t="s">
        <v>169</v>
      </c>
      <c r="E131" s="190"/>
      <c r="F131" s="190"/>
      <c r="G131" s="77" t="s">
        <v>362</v>
      </c>
      <c r="H131" s="77" t="s">
        <v>363</v>
      </c>
      <c r="I131" s="200" t="s">
        <v>364</v>
      </c>
      <c r="J131" s="200"/>
      <c r="K131" s="198" t="s">
        <v>365</v>
      </c>
      <c r="L131" s="198"/>
    </row>
    <row r="132" spans="3:15" hidden="1" outlineLevel="1" x14ac:dyDescent="0.25">
      <c r="D132" s="160" t="s">
        <v>170</v>
      </c>
      <c r="E132" s="160"/>
      <c r="F132" s="160"/>
      <c r="G132" s="4">
        <v>0.25</v>
      </c>
      <c r="H132" s="2">
        <v>0.18</v>
      </c>
      <c r="I132" s="160" t="s">
        <v>174</v>
      </c>
      <c r="J132" s="160"/>
      <c r="K132" s="199">
        <v>0.25</v>
      </c>
      <c r="L132" s="199"/>
    </row>
    <row r="133" spans="3:15" hidden="1" outlineLevel="1" x14ac:dyDescent="0.25">
      <c r="D133" s="160" t="s">
        <v>171</v>
      </c>
      <c r="E133" s="160"/>
      <c r="F133" s="160"/>
      <c r="G133" s="4">
        <v>0.25</v>
      </c>
      <c r="H133" s="2">
        <v>0.18</v>
      </c>
      <c r="I133" s="160" t="s">
        <v>183</v>
      </c>
      <c r="J133" s="160"/>
      <c r="K133" s="199">
        <v>0.25</v>
      </c>
      <c r="L133" s="199"/>
    </row>
    <row r="134" spans="3:15" hidden="1" outlineLevel="1" x14ac:dyDescent="0.25">
      <c r="D134" s="160" t="s">
        <v>172</v>
      </c>
      <c r="E134" s="160"/>
      <c r="F134" s="160"/>
      <c r="G134" s="4">
        <v>0.25</v>
      </c>
      <c r="H134" s="2">
        <v>0.18</v>
      </c>
      <c r="I134" s="160" t="s">
        <v>183</v>
      </c>
      <c r="J134" s="160"/>
      <c r="K134" s="199">
        <v>0.25</v>
      </c>
      <c r="L134" s="199"/>
    </row>
    <row r="135" spans="3:15" hidden="1" outlineLevel="1" x14ac:dyDescent="0.25">
      <c r="D135" s="160" t="s">
        <v>361</v>
      </c>
      <c r="E135" s="160"/>
      <c r="F135" s="160"/>
      <c r="G135" s="4">
        <v>0.25</v>
      </c>
      <c r="H135" s="2">
        <v>0.18</v>
      </c>
      <c r="I135" s="160" t="s">
        <v>184</v>
      </c>
      <c r="J135" s="160"/>
      <c r="K135" s="199">
        <v>0.25</v>
      </c>
      <c r="L135" s="199"/>
    </row>
    <row r="136" spans="3:15" hidden="1" outlineLevel="1" x14ac:dyDescent="0.25">
      <c r="D136" s="16" t="s">
        <v>336</v>
      </c>
      <c r="G136" s="88">
        <f>SUM(G132:G135)</f>
        <v>1</v>
      </c>
      <c r="H136" s="82">
        <f>SUM(H132:H135)</f>
        <v>0.72</v>
      </c>
    </row>
    <row r="137" spans="3:15" hidden="1" outlineLevel="1" x14ac:dyDescent="0.25">
      <c r="C137" s="86" t="s">
        <v>366</v>
      </c>
    </row>
    <row r="138" spans="3:15" hidden="1" outlineLevel="1" x14ac:dyDescent="0.25">
      <c r="D138" s="1" t="s">
        <v>367</v>
      </c>
    </row>
    <row r="139" spans="3:15" hidden="1" outlineLevel="1" x14ac:dyDescent="0.25">
      <c r="D139" s="1" t="s">
        <v>368</v>
      </c>
    </row>
    <row r="140" spans="3:15" hidden="1" outlineLevel="1" x14ac:dyDescent="0.25">
      <c r="C140" s="73" t="s">
        <v>375</v>
      </c>
    </row>
    <row r="141" spans="3:15" hidden="1" outlineLevel="1" x14ac:dyDescent="0.25">
      <c r="D141" s="195" t="s">
        <v>169</v>
      </c>
      <c r="E141" s="196"/>
      <c r="F141" s="83" t="s">
        <v>374</v>
      </c>
      <c r="G141" s="83" t="s">
        <v>14</v>
      </c>
      <c r="H141" s="83" t="s">
        <v>344</v>
      </c>
      <c r="I141" s="190" t="s">
        <v>345</v>
      </c>
      <c r="J141" s="190"/>
      <c r="K141" s="190"/>
      <c r="L141" s="190"/>
      <c r="M141" s="190"/>
      <c r="N141" s="190"/>
      <c r="O141" s="190"/>
    </row>
    <row r="142" spans="3:15" hidden="1" outlineLevel="1" x14ac:dyDescent="0.25">
      <c r="D142" s="2" t="s">
        <v>370</v>
      </c>
      <c r="E142" s="2"/>
      <c r="F142" s="4">
        <v>0.5</v>
      </c>
      <c r="G142" s="2">
        <v>0.36</v>
      </c>
      <c r="H142" s="2" t="s">
        <v>339</v>
      </c>
      <c r="I142" s="160" t="s">
        <v>371</v>
      </c>
      <c r="J142" s="160"/>
      <c r="K142" s="160"/>
      <c r="L142" s="160"/>
      <c r="M142" s="160"/>
      <c r="N142" s="160"/>
      <c r="O142" s="160"/>
    </row>
    <row r="143" spans="3:15" hidden="1" outlineLevel="1" x14ac:dyDescent="0.25">
      <c r="D143" s="2" t="s">
        <v>372</v>
      </c>
      <c r="E143" s="2"/>
      <c r="F143" s="4">
        <v>0.5</v>
      </c>
      <c r="G143" s="2">
        <v>0.36</v>
      </c>
      <c r="H143" s="2" t="s">
        <v>338</v>
      </c>
      <c r="I143" s="160" t="s">
        <v>373</v>
      </c>
      <c r="J143" s="160"/>
      <c r="K143" s="160"/>
      <c r="L143" s="160"/>
      <c r="M143" s="160"/>
      <c r="N143" s="160"/>
      <c r="O143" s="160"/>
    </row>
    <row r="144" spans="3:15" hidden="1" outlineLevel="1" x14ac:dyDescent="0.25">
      <c r="D144" s="60" t="s">
        <v>392</v>
      </c>
    </row>
    <row r="145" spans="2:15" hidden="1" outlineLevel="1" x14ac:dyDescent="0.25">
      <c r="D145" s="60"/>
    </row>
    <row r="146" spans="2:15" hidden="1" outlineLevel="1" x14ac:dyDescent="0.25">
      <c r="B146" s="66" t="s">
        <v>395</v>
      </c>
      <c r="D146" s="60"/>
    </row>
    <row r="147" spans="2:15" hidden="1" outlineLevel="1" x14ac:dyDescent="0.25">
      <c r="C147" s="1" t="s">
        <v>396</v>
      </c>
      <c r="D147" s="60"/>
    </row>
    <row r="148" spans="2:15" hidden="1" outlineLevel="1" x14ac:dyDescent="0.25">
      <c r="D148" s="194" t="s">
        <v>397</v>
      </c>
      <c r="E148" s="194"/>
      <c r="F148" s="194"/>
      <c r="G148" s="194"/>
      <c r="H148" s="194"/>
      <c r="I148" s="194"/>
      <c r="J148" s="194"/>
      <c r="K148" s="194"/>
      <c r="L148" s="194"/>
      <c r="M148" s="194"/>
      <c r="N148" s="194"/>
      <c r="O148" s="194"/>
    </row>
    <row r="149" spans="2:15" hidden="1" outlineLevel="1" x14ac:dyDescent="0.25">
      <c r="D149" s="194"/>
      <c r="E149" s="194"/>
      <c r="F149" s="194"/>
      <c r="G149" s="194"/>
      <c r="H149" s="194"/>
      <c r="I149" s="194"/>
      <c r="J149" s="194"/>
      <c r="K149" s="194"/>
      <c r="L149" s="194"/>
      <c r="M149" s="194"/>
      <c r="N149" s="194"/>
      <c r="O149" s="194"/>
    </row>
    <row r="150" spans="2:15" hidden="1" outlineLevel="1" x14ac:dyDescent="0.25">
      <c r="D150" s="89" t="s">
        <v>398</v>
      </c>
    </row>
    <row r="151" spans="2:15" hidden="1" outlineLevel="1" x14ac:dyDescent="0.25">
      <c r="D151" s="60"/>
    </row>
    <row r="152" spans="2:15" hidden="1" outlineLevel="1" x14ac:dyDescent="0.25">
      <c r="B152" s="66" t="s">
        <v>400</v>
      </c>
      <c r="D152" s="60"/>
    </row>
    <row r="153" spans="2:15" hidden="1" outlineLevel="1" x14ac:dyDescent="0.25">
      <c r="C153" s="1" t="s">
        <v>401</v>
      </c>
      <c r="D153" s="60"/>
    </row>
    <row r="154" spans="2:15" hidden="1" outlineLevel="1" x14ac:dyDescent="0.25">
      <c r="C154" s="1" t="s">
        <v>402</v>
      </c>
      <c r="D154" s="60"/>
    </row>
    <row r="155" spans="2:15" hidden="1" outlineLevel="1" x14ac:dyDescent="0.25">
      <c r="D155" s="60" t="s">
        <v>403</v>
      </c>
    </row>
    <row r="156" spans="2:15" hidden="1" outlineLevel="1" x14ac:dyDescent="0.25">
      <c r="D156" s="60"/>
    </row>
    <row r="157" spans="2:15" hidden="1" outlineLevel="1" x14ac:dyDescent="0.25">
      <c r="B157" s="66" t="s">
        <v>404</v>
      </c>
      <c r="D157" s="60"/>
    </row>
    <row r="158" spans="2:15" hidden="1" outlineLevel="1" x14ac:dyDescent="0.25">
      <c r="C158" s="1" t="s">
        <v>405</v>
      </c>
      <c r="D158" s="60"/>
    </row>
    <row r="159" spans="2:15" hidden="1" outlineLevel="1" x14ac:dyDescent="0.25">
      <c r="C159" s="1" t="s">
        <v>406</v>
      </c>
      <c r="D159" s="60"/>
    </row>
    <row r="160" spans="2:15" hidden="1" outlineLevel="1" x14ac:dyDescent="0.25">
      <c r="D160" s="60" t="s">
        <v>407</v>
      </c>
    </row>
    <row r="161" spans="2:15" hidden="1" outlineLevel="1" x14ac:dyDescent="0.25">
      <c r="D161" s="60"/>
    </row>
    <row r="162" spans="2:15" hidden="1" outlineLevel="1" x14ac:dyDescent="0.25">
      <c r="B162" s="1" t="s">
        <v>408</v>
      </c>
      <c r="D162" s="60"/>
    </row>
    <row r="163" spans="2:15" hidden="1" outlineLevel="1" x14ac:dyDescent="0.25">
      <c r="C163" s="1" t="s">
        <v>409</v>
      </c>
      <c r="D163" s="60"/>
    </row>
    <row r="164" spans="2:15" hidden="1" outlineLevel="1" x14ac:dyDescent="0.25">
      <c r="C164" s="16" t="s">
        <v>871</v>
      </c>
      <c r="D164" s="60"/>
    </row>
    <row r="165" spans="2:15" collapsed="1" x14ac:dyDescent="0.25">
      <c r="D165" s="60"/>
    </row>
    <row r="166" spans="2:15" x14ac:dyDescent="0.25">
      <c r="B166" s="135" t="s">
        <v>776</v>
      </c>
      <c r="C166" s="135"/>
      <c r="D166" s="135"/>
      <c r="E166" s="135"/>
      <c r="F166" s="135"/>
      <c r="G166" s="135"/>
      <c r="H166" s="135"/>
      <c r="I166" s="135"/>
      <c r="J166" s="135"/>
      <c r="K166" s="135"/>
      <c r="L166" s="135"/>
      <c r="M166" s="135"/>
      <c r="N166" s="135"/>
      <c r="O166" s="135"/>
    </row>
    <row r="167" spans="2:15" hidden="1" outlineLevel="1" x14ac:dyDescent="0.25"/>
    <row r="168" spans="2:15" hidden="1" outlineLevel="1" x14ac:dyDescent="0.25">
      <c r="B168" s="66" t="s">
        <v>306</v>
      </c>
    </row>
    <row r="169" spans="2:15" hidden="1" outlineLevel="1" x14ac:dyDescent="0.25">
      <c r="C169" s="1" t="s">
        <v>307</v>
      </c>
    </row>
    <row r="170" spans="2:15" hidden="1" outlineLevel="1" x14ac:dyDescent="0.25">
      <c r="C170" s="1" t="s">
        <v>308</v>
      </c>
    </row>
    <row r="171" spans="2:15" hidden="1" outlineLevel="1" x14ac:dyDescent="0.25">
      <c r="B171" s="66" t="s">
        <v>309</v>
      </c>
    </row>
    <row r="172" spans="2:15" hidden="1" outlineLevel="1" x14ac:dyDescent="0.25">
      <c r="C172" s="1" t="s">
        <v>310</v>
      </c>
    </row>
    <row r="173" spans="2:15" hidden="1" outlineLevel="1" x14ac:dyDescent="0.25">
      <c r="B173" s="66" t="s">
        <v>311</v>
      </c>
    </row>
    <row r="174" spans="2:15" hidden="1" outlineLevel="1" x14ac:dyDescent="0.25">
      <c r="C174" s="1" t="s">
        <v>312</v>
      </c>
    </row>
    <row r="175" spans="2:15" hidden="1" outlineLevel="1" x14ac:dyDescent="0.25">
      <c r="C175" s="1" t="s">
        <v>313</v>
      </c>
    </row>
    <row r="176" spans="2:15" hidden="1" outlineLevel="1" x14ac:dyDescent="0.25">
      <c r="B176" s="66" t="s">
        <v>314</v>
      </c>
    </row>
    <row r="177" spans="2:15" hidden="1" outlineLevel="1" x14ac:dyDescent="0.25">
      <c r="C177" s="1" t="s">
        <v>315</v>
      </c>
    </row>
    <row r="178" spans="2:15" hidden="1" outlineLevel="1" x14ac:dyDescent="0.25">
      <c r="B178" s="16" t="s">
        <v>316</v>
      </c>
    </row>
    <row r="179" spans="2:15" hidden="1" outlineLevel="1" x14ac:dyDescent="0.25">
      <c r="C179" s="1" t="s">
        <v>317</v>
      </c>
    </row>
    <row r="180" spans="2:15" hidden="1" outlineLevel="1" x14ac:dyDescent="0.25">
      <c r="C180" s="1" t="s">
        <v>318</v>
      </c>
    </row>
    <row r="181" spans="2:15" collapsed="1" x14ac:dyDescent="0.25"/>
    <row r="182" spans="2:15" x14ac:dyDescent="0.25">
      <c r="B182" s="135" t="s">
        <v>777</v>
      </c>
      <c r="C182" s="135"/>
      <c r="D182" s="135"/>
      <c r="E182" s="135"/>
      <c r="F182" s="135"/>
      <c r="G182" s="135"/>
      <c r="H182" s="135"/>
      <c r="I182" s="135"/>
      <c r="J182" s="135"/>
      <c r="K182" s="135"/>
      <c r="L182" s="135"/>
      <c r="M182" s="135"/>
      <c r="N182" s="135"/>
      <c r="O182" s="135"/>
    </row>
    <row r="183" spans="2:15" hidden="1" outlineLevel="1" x14ac:dyDescent="0.25"/>
    <row r="184" spans="2:15" hidden="1" outlineLevel="1" x14ac:dyDescent="0.25">
      <c r="B184" s="66" t="s">
        <v>322</v>
      </c>
    </row>
    <row r="185" spans="2:15" hidden="1" outlineLevel="1" x14ac:dyDescent="0.25">
      <c r="C185" s="1" t="s">
        <v>323</v>
      </c>
    </row>
    <row r="186" spans="2:15" hidden="1" outlineLevel="1" x14ac:dyDescent="0.25">
      <c r="B186" s="66" t="s">
        <v>324</v>
      </c>
    </row>
    <row r="187" spans="2:15" hidden="1" outlineLevel="1" x14ac:dyDescent="0.25">
      <c r="C187" s="1" t="s">
        <v>330</v>
      </c>
    </row>
    <row r="188" spans="2:15" hidden="1" outlineLevel="1" x14ac:dyDescent="0.25">
      <c r="B188" s="16" t="s">
        <v>325</v>
      </c>
    </row>
    <row r="189" spans="2:15" hidden="1" outlineLevel="1" x14ac:dyDescent="0.25">
      <c r="C189" s="1" t="s">
        <v>326</v>
      </c>
    </row>
    <row r="190" spans="2:15" hidden="1" outlineLevel="1" x14ac:dyDescent="0.25">
      <c r="C190" s="1" t="s">
        <v>327</v>
      </c>
    </row>
    <row r="191" spans="2:15" hidden="1" outlineLevel="1" x14ac:dyDescent="0.25">
      <c r="C191" s="1" t="s">
        <v>328</v>
      </c>
    </row>
    <row r="192" spans="2:15" collapsed="1" x14ac:dyDescent="0.25"/>
    <row r="193" spans="2:15" x14ac:dyDescent="0.25">
      <c r="B193" s="135" t="s">
        <v>778</v>
      </c>
      <c r="C193" s="135"/>
      <c r="D193" s="135"/>
      <c r="E193" s="135"/>
      <c r="F193" s="135"/>
      <c r="G193" s="135"/>
      <c r="H193" s="135"/>
      <c r="I193" s="135"/>
      <c r="J193" s="135"/>
      <c r="K193" s="135"/>
      <c r="L193" s="135"/>
      <c r="M193" s="135"/>
      <c r="N193" s="135"/>
      <c r="O193" s="135"/>
    </row>
    <row r="194" spans="2:15" hidden="1" outlineLevel="2" x14ac:dyDescent="0.25"/>
    <row r="195" spans="2:15" hidden="1" outlineLevel="2" x14ac:dyDescent="0.25">
      <c r="B195" s="16" t="s">
        <v>250</v>
      </c>
    </row>
    <row r="196" spans="2:15" hidden="1" outlineLevel="2" x14ac:dyDescent="0.25">
      <c r="C196" s="16" t="s">
        <v>263</v>
      </c>
    </row>
    <row r="197" spans="2:15" hidden="1" outlineLevel="2" x14ac:dyDescent="0.25">
      <c r="C197" s="16" t="s">
        <v>264</v>
      </c>
    </row>
    <row r="198" spans="2:15" hidden="1" outlineLevel="2" x14ac:dyDescent="0.25">
      <c r="C198" s="16" t="s">
        <v>265</v>
      </c>
    </row>
    <row r="199" spans="2:15" hidden="1" outlineLevel="2" x14ac:dyDescent="0.25"/>
    <row r="200" spans="2:15" hidden="1" outlineLevel="2" x14ac:dyDescent="0.25">
      <c r="B200" s="41" t="s">
        <v>90</v>
      </c>
    </row>
    <row r="201" spans="2:15" hidden="1" outlineLevel="2" x14ac:dyDescent="0.25">
      <c r="C201" s="1" t="s">
        <v>191</v>
      </c>
    </row>
    <row r="202" spans="2:15" hidden="1" outlineLevel="2" x14ac:dyDescent="0.25">
      <c r="C202" s="1" t="s">
        <v>192</v>
      </c>
    </row>
    <row r="203" spans="2:15" hidden="1" outlineLevel="2" x14ac:dyDescent="0.25">
      <c r="C203" s="1" t="s">
        <v>193</v>
      </c>
    </row>
    <row r="204" spans="2:15" hidden="1" outlineLevel="2" x14ac:dyDescent="0.25">
      <c r="C204" s="1" t="s">
        <v>194</v>
      </c>
    </row>
    <row r="205" spans="2:15" hidden="1" outlineLevel="2" x14ac:dyDescent="0.25">
      <c r="C205" s="1" t="s">
        <v>195</v>
      </c>
    </row>
    <row r="206" spans="2:15" hidden="1" outlineLevel="2" x14ac:dyDescent="0.25">
      <c r="C206" s="16" t="s">
        <v>196</v>
      </c>
    </row>
    <row r="207" spans="2:15" hidden="1" outlineLevel="2" x14ac:dyDescent="0.25">
      <c r="D207" s="1" t="s">
        <v>197</v>
      </c>
    </row>
    <row r="208" spans="2:15" hidden="1" outlineLevel="2" x14ac:dyDescent="0.25">
      <c r="C208" s="1" t="s">
        <v>198</v>
      </c>
    </row>
    <row r="209" spans="2:4" hidden="1" outlineLevel="2" x14ac:dyDescent="0.25"/>
    <row r="210" spans="2:4" hidden="1" outlineLevel="2" x14ac:dyDescent="0.25">
      <c r="B210" s="41" t="s">
        <v>199</v>
      </c>
    </row>
    <row r="211" spans="2:4" hidden="1" outlineLevel="2" x14ac:dyDescent="0.25">
      <c r="C211" s="1" t="s">
        <v>206</v>
      </c>
    </row>
    <row r="212" spans="2:4" hidden="1" outlineLevel="2" x14ac:dyDescent="0.25">
      <c r="C212" s="1" t="s">
        <v>207</v>
      </c>
    </row>
    <row r="213" spans="2:4" hidden="1" outlineLevel="2" x14ac:dyDescent="0.25">
      <c r="D213" s="1" t="s">
        <v>208</v>
      </c>
    </row>
    <row r="214" spans="2:4" hidden="1" outlineLevel="2" x14ac:dyDescent="0.25">
      <c r="D214" s="1" t="s">
        <v>209</v>
      </c>
    </row>
    <row r="215" spans="2:4" hidden="1" outlineLevel="2" x14ac:dyDescent="0.25">
      <c r="D215" s="1" t="s">
        <v>210</v>
      </c>
    </row>
    <row r="216" spans="2:4" hidden="1" outlineLevel="2" x14ac:dyDescent="0.25">
      <c r="D216" s="1" t="s">
        <v>211</v>
      </c>
    </row>
    <row r="217" spans="2:4" hidden="1" outlineLevel="2" x14ac:dyDescent="0.25">
      <c r="D217" s="1" t="s">
        <v>212</v>
      </c>
    </row>
    <row r="218" spans="2:4" hidden="1" outlineLevel="2" x14ac:dyDescent="0.25">
      <c r="D218" s="1" t="s">
        <v>213</v>
      </c>
    </row>
    <row r="219" spans="2:4" hidden="1" outlineLevel="2" x14ac:dyDescent="0.25">
      <c r="D219" s="1" t="s">
        <v>214</v>
      </c>
    </row>
    <row r="220" spans="2:4" hidden="1" outlineLevel="2" x14ac:dyDescent="0.25">
      <c r="C220" s="1" t="s">
        <v>215</v>
      </c>
    </row>
    <row r="221" spans="2:4" hidden="1" outlineLevel="2" x14ac:dyDescent="0.25">
      <c r="C221" s="1" t="s">
        <v>200</v>
      </c>
    </row>
    <row r="222" spans="2:4" hidden="1" outlineLevel="2" x14ac:dyDescent="0.25">
      <c r="D222" s="1" t="s">
        <v>201</v>
      </c>
    </row>
    <row r="223" spans="2:4" hidden="1" outlineLevel="2" x14ac:dyDescent="0.25">
      <c r="D223" s="1" t="s">
        <v>202</v>
      </c>
    </row>
    <row r="224" spans="2:4" hidden="1" outlineLevel="2" x14ac:dyDescent="0.25">
      <c r="D224" s="1" t="s">
        <v>203</v>
      </c>
    </row>
    <row r="225" spans="3:10" hidden="1" outlineLevel="2" x14ac:dyDescent="0.25">
      <c r="D225" s="1" t="s">
        <v>377</v>
      </c>
    </row>
    <row r="226" spans="3:10" hidden="1" outlineLevel="2" x14ac:dyDescent="0.25">
      <c r="E226" s="195" t="s">
        <v>216</v>
      </c>
      <c r="F226" s="197"/>
      <c r="G226" s="197"/>
      <c r="H226" s="196"/>
      <c r="I226" s="83" t="s">
        <v>382</v>
      </c>
      <c r="J226" s="83" t="s">
        <v>383</v>
      </c>
    </row>
    <row r="227" spans="3:10" hidden="1" outlineLevel="2" x14ac:dyDescent="0.25">
      <c r="E227" s="191" t="s">
        <v>378</v>
      </c>
      <c r="F227" s="192"/>
      <c r="G227" s="192"/>
      <c r="H227" s="193"/>
      <c r="I227" s="4">
        <v>0.1</v>
      </c>
      <c r="J227" s="4">
        <v>0.1</v>
      </c>
    </row>
    <row r="228" spans="3:10" hidden="1" outlineLevel="2" x14ac:dyDescent="0.25">
      <c r="E228" s="191" t="s">
        <v>379</v>
      </c>
      <c r="F228" s="192"/>
      <c r="G228" s="192"/>
      <c r="H228" s="193"/>
      <c r="I228" s="4">
        <v>0.14000000000000001</v>
      </c>
      <c r="J228" s="4">
        <v>0.09</v>
      </c>
    </row>
    <row r="229" spans="3:10" hidden="1" outlineLevel="2" x14ac:dyDescent="0.25">
      <c r="E229" s="191" t="s">
        <v>380</v>
      </c>
      <c r="F229" s="192"/>
      <c r="G229" s="192"/>
      <c r="H229" s="193"/>
      <c r="I229" s="4">
        <v>0.22</v>
      </c>
      <c r="J229" s="4">
        <v>0.33</v>
      </c>
    </row>
    <row r="230" spans="3:10" hidden="1" outlineLevel="2" x14ac:dyDescent="0.25">
      <c r="E230" s="191" t="s">
        <v>381</v>
      </c>
      <c r="F230" s="192"/>
      <c r="G230" s="192"/>
      <c r="H230" s="193"/>
      <c r="I230" s="4">
        <v>0.54</v>
      </c>
      <c r="J230" s="4">
        <v>0.48</v>
      </c>
    </row>
    <row r="231" spans="3:10" hidden="1" outlineLevel="2" x14ac:dyDescent="0.25">
      <c r="E231" s="16" t="s">
        <v>336</v>
      </c>
      <c r="I231" s="88">
        <f>SUM(I227:I230)</f>
        <v>1</v>
      </c>
      <c r="J231" s="88">
        <f t="shared" ref="J231" si="1">SUM(J227:J230)</f>
        <v>1</v>
      </c>
    </row>
    <row r="232" spans="3:10" hidden="1" outlineLevel="2" x14ac:dyDescent="0.25">
      <c r="E232" s="1" t="s">
        <v>217</v>
      </c>
    </row>
    <row r="233" spans="3:10" hidden="1" outlineLevel="2" x14ac:dyDescent="0.25">
      <c r="E233" s="1" t="s">
        <v>218</v>
      </c>
    </row>
    <row r="234" spans="3:10" hidden="1" outlineLevel="2" x14ac:dyDescent="0.25">
      <c r="E234" s="1" t="s">
        <v>219</v>
      </c>
    </row>
    <row r="235" spans="3:10" hidden="1" outlineLevel="2" x14ac:dyDescent="0.25">
      <c r="E235" s="1" t="s">
        <v>220</v>
      </c>
    </row>
    <row r="236" spans="3:10" hidden="1" outlineLevel="2" x14ac:dyDescent="0.25">
      <c r="D236" s="1" t="s">
        <v>221</v>
      </c>
    </row>
    <row r="237" spans="3:10" hidden="1" outlineLevel="2" x14ac:dyDescent="0.25">
      <c r="E237" s="1" t="s">
        <v>222</v>
      </c>
    </row>
    <row r="238" spans="3:10" hidden="1" outlineLevel="2" x14ac:dyDescent="0.25">
      <c r="E238" s="1" t="s">
        <v>223</v>
      </c>
    </row>
    <row r="239" spans="3:10" hidden="1" outlineLevel="2" x14ac:dyDescent="0.25">
      <c r="E239" s="1" t="s">
        <v>224</v>
      </c>
    </row>
    <row r="240" spans="3:10" hidden="1" outlineLevel="2" x14ac:dyDescent="0.25">
      <c r="C240" s="1" t="s">
        <v>384</v>
      </c>
    </row>
    <row r="241" spans="2:4" hidden="1" outlineLevel="2" x14ac:dyDescent="0.25">
      <c r="D241" s="1" t="s">
        <v>385</v>
      </c>
    </row>
    <row r="242" spans="2:4" hidden="1" outlineLevel="2" x14ac:dyDescent="0.25">
      <c r="D242" s="1" t="s">
        <v>205</v>
      </c>
    </row>
    <row r="243" spans="2:4" hidden="1" outlineLevel="2" x14ac:dyDescent="0.25">
      <c r="D243" s="1" t="s">
        <v>204</v>
      </c>
    </row>
    <row r="244" spans="2:4" hidden="1" outlineLevel="2" x14ac:dyDescent="0.25"/>
    <row r="245" spans="2:4" hidden="1" outlineLevel="2" x14ac:dyDescent="0.25">
      <c r="B245" s="41" t="s">
        <v>225</v>
      </c>
    </row>
    <row r="246" spans="2:4" hidden="1" outlineLevel="2" x14ac:dyDescent="0.25">
      <c r="C246" s="1" t="s">
        <v>226</v>
      </c>
    </row>
    <row r="247" spans="2:4" hidden="1" outlineLevel="2" x14ac:dyDescent="0.25">
      <c r="C247" s="1" t="s">
        <v>227</v>
      </c>
    </row>
    <row r="248" spans="2:4" hidden="1" outlineLevel="2" x14ac:dyDescent="0.25">
      <c r="C248" s="1" t="s">
        <v>228</v>
      </c>
    </row>
    <row r="249" spans="2:4" hidden="1" outlineLevel="2" x14ac:dyDescent="0.25">
      <c r="D249" s="1" t="s">
        <v>229</v>
      </c>
    </row>
    <row r="250" spans="2:4" hidden="1" outlineLevel="2" x14ac:dyDescent="0.25">
      <c r="C250" s="1" t="s">
        <v>230</v>
      </c>
    </row>
    <row r="251" spans="2:4" hidden="1" outlineLevel="2" x14ac:dyDescent="0.25">
      <c r="C251" s="1" t="s">
        <v>231</v>
      </c>
    </row>
    <row r="252" spans="2:4" hidden="1" outlineLevel="2" x14ac:dyDescent="0.25">
      <c r="C252" s="1" t="s">
        <v>232</v>
      </c>
    </row>
    <row r="253" spans="2:4" hidden="1" outlineLevel="2" x14ac:dyDescent="0.25">
      <c r="D253" s="16" t="s">
        <v>266</v>
      </c>
    </row>
    <row r="254" spans="2:4" hidden="1" outlineLevel="2" x14ac:dyDescent="0.25">
      <c r="D254" s="16" t="s">
        <v>267</v>
      </c>
    </row>
    <row r="255" spans="2:4" hidden="1" outlineLevel="2" x14ac:dyDescent="0.25">
      <c r="D255" s="16" t="s">
        <v>268</v>
      </c>
    </row>
    <row r="256" spans="2:4" hidden="1" outlineLevel="2" x14ac:dyDescent="0.25">
      <c r="D256" s="16" t="s">
        <v>269</v>
      </c>
    </row>
    <row r="257" spans="2:4" hidden="1" outlineLevel="2" x14ac:dyDescent="0.25">
      <c r="C257" s="1" t="s">
        <v>233</v>
      </c>
    </row>
    <row r="258" spans="2:4" hidden="1" outlineLevel="2" x14ac:dyDescent="0.25">
      <c r="C258" s="1" t="s">
        <v>234</v>
      </c>
    </row>
    <row r="259" spans="2:4" hidden="1" outlineLevel="2" x14ac:dyDescent="0.25">
      <c r="D259" s="1" t="s">
        <v>386</v>
      </c>
    </row>
    <row r="260" spans="2:4" hidden="1" outlineLevel="2" x14ac:dyDescent="0.25">
      <c r="C260" s="1" t="s">
        <v>270</v>
      </c>
    </row>
    <row r="261" spans="2:4" hidden="1" outlineLevel="2" x14ac:dyDescent="0.25">
      <c r="D261" s="1" t="s">
        <v>271</v>
      </c>
    </row>
    <row r="262" spans="2:4" hidden="1" outlineLevel="2" x14ac:dyDescent="0.25">
      <c r="C262" s="1" t="s">
        <v>235</v>
      </c>
    </row>
    <row r="263" spans="2:4" hidden="1" outlineLevel="2" x14ac:dyDescent="0.25">
      <c r="C263" s="1" t="s">
        <v>236</v>
      </c>
    </row>
    <row r="264" spans="2:4" hidden="1" outlineLevel="2" x14ac:dyDescent="0.25">
      <c r="D264" s="16"/>
    </row>
    <row r="265" spans="2:4" hidden="1" outlineLevel="2" x14ac:dyDescent="0.25">
      <c r="B265" s="16" t="s">
        <v>237</v>
      </c>
    </row>
    <row r="266" spans="2:4" hidden="1" outlineLevel="2" x14ac:dyDescent="0.25">
      <c r="C266" s="1" t="s">
        <v>244</v>
      </c>
    </row>
    <row r="267" spans="2:4" hidden="1" outlineLevel="2" x14ac:dyDescent="0.25">
      <c r="D267" s="1" t="s">
        <v>223</v>
      </c>
    </row>
    <row r="268" spans="2:4" hidden="1" outlineLevel="2" x14ac:dyDescent="0.25">
      <c r="D268" s="1" t="s">
        <v>238</v>
      </c>
    </row>
    <row r="269" spans="2:4" hidden="1" outlineLevel="2" x14ac:dyDescent="0.25">
      <c r="D269" s="1" t="s">
        <v>239</v>
      </c>
    </row>
    <row r="270" spans="2:4" hidden="1" outlineLevel="2" x14ac:dyDescent="0.25">
      <c r="D270" s="1" t="s">
        <v>240</v>
      </c>
    </row>
    <row r="271" spans="2:4" hidden="1" outlineLevel="2" x14ac:dyDescent="0.25">
      <c r="D271" s="60" t="s">
        <v>241</v>
      </c>
    </row>
    <row r="272" spans="2:4" hidden="1" outlineLevel="2" x14ac:dyDescent="0.25">
      <c r="C272" s="16" t="s">
        <v>246</v>
      </c>
      <c r="D272" s="60"/>
    </row>
    <row r="273" spans="2:15" hidden="1" outlineLevel="2" x14ac:dyDescent="0.25">
      <c r="C273" s="1" t="s">
        <v>242</v>
      </c>
    </row>
    <row r="274" spans="2:15" hidden="1" outlineLevel="2" x14ac:dyDescent="0.25">
      <c r="C274" s="1" t="s">
        <v>243</v>
      </c>
    </row>
    <row r="275" spans="2:15" hidden="1" outlineLevel="2" x14ac:dyDescent="0.25">
      <c r="D275" s="1" t="s">
        <v>272</v>
      </c>
    </row>
    <row r="276" spans="2:15" hidden="1" outlineLevel="2" x14ac:dyDescent="0.25">
      <c r="E276" s="16" t="s">
        <v>248</v>
      </c>
    </row>
    <row r="277" spans="2:15" hidden="1" outlineLevel="2" x14ac:dyDescent="0.25">
      <c r="D277" s="1" t="s">
        <v>247</v>
      </c>
    </row>
    <row r="278" spans="2:15" hidden="1" outlineLevel="2" x14ac:dyDescent="0.25">
      <c r="E278" s="16" t="s">
        <v>249</v>
      </c>
    </row>
    <row r="279" spans="2:15" collapsed="1" x14ac:dyDescent="0.25"/>
    <row r="280" spans="2:15" x14ac:dyDescent="0.25">
      <c r="B280" s="135" t="s">
        <v>779</v>
      </c>
      <c r="C280" s="135"/>
      <c r="D280" s="135"/>
      <c r="E280" s="135"/>
      <c r="F280" s="135"/>
      <c r="G280" s="135"/>
      <c r="H280" s="135"/>
      <c r="I280" s="135"/>
      <c r="J280" s="135"/>
      <c r="K280" s="135"/>
      <c r="L280" s="135"/>
      <c r="M280" s="135"/>
      <c r="N280" s="135"/>
      <c r="O280" s="135"/>
    </row>
    <row r="281" spans="2:15" hidden="1" outlineLevel="1" x14ac:dyDescent="0.25"/>
    <row r="282" spans="2:15" hidden="1" outlineLevel="1" x14ac:dyDescent="0.25">
      <c r="B282" s="66" t="s">
        <v>418</v>
      </c>
    </row>
    <row r="283" spans="2:15" hidden="1" outlineLevel="1" x14ac:dyDescent="0.25">
      <c r="C283" s="1" t="s">
        <v>417</v>
      </c>
    </row>
    <row r="284" spans="2:15" hidden="1" outlineLevel="1" x14ac:dyDescent="0.25">
      <c r="C284" s="1" t="s">
        <v>420</v>
      </c>
    </row>
    <row r="285" spans="2:15" hidden="1" outlineLevel="1" x14ac:dyDescent="0.25">
      <c r="C285" s="60"/>
      <c r="D285" s="60" t="s">
        <v>421</v>
      </c>
    </row>
    <row r="286" spans="2:15" hidden="1" outlineLevel="1" x14ac:dyDescent="0.25"/>
    <row r="287" spans="2:15" hidden="1" outlineLevel="1" x14ac:dyDescent="0.25">
      <c r="B287" s="66" t="s">
        <v>411</v>
      </c>
    </row>
    <row r="288" spans="2:15" hidden="1" outlineLevel="1" x14ac:dyDescent="0.25">
      <c r="C288" s="1" t="s">
        <v>412</v>
      </c>
    </row>
    <row r="289" spans="2:15" hidden="1" outlineLevel="1" x14ac:dyDescent="0.25">
      <c r="C289" s="1" t="s">
        <v>413</v>
      </c>
    </row>
    <row r="290" spans="2:15" hidden="1" outlineLevel="1" x14ac:dyDescent="0.25">
      <c r="C290" s="1" t="s">
        <v>414</v>
      </c>
    </row>
    <row r="291" spans="2:15" hidden="1" outlineLevel="1" x14ac:dyDescent="0.25">
      <c r="D291" s="1" t="s">
        <v>415</v>
      </c>
    </row>
    <row r="292" spans="2:15" hidden="1" outlineLevel="1" x14ac:dyDescent="0.25">
      <c r="D292" s="1" t="s">
        <v>416</v>
      </c>
    </row>
    <row r="293" spans="2:15" collapsed="1" x14ac:dyDescent="0.25"/>
    <row r="294" spans="2:15" x14ac:dyDescent="0.25">
      <c r="B294" s="135" t="s">
        <v>780</v>
      </c>
      <c r="C294" s="135"/>
      <c r="D294" s="135"/>
      <c r="E294" s="135"/>
      <c r="F294" s="135"/>
      <c r="G294" s="135"/>
      <c r="H294" s="135"/>
      <c r="I294" s="135"/>
      <c r="J294" s="135"/>
      <c r="K294" s="135"/>
      <c r="L294" s="135"/>
      <c r="M294" s="135"/>
      <c r="N294" s="135"/>
      <c r="O294" s="135"/>
    </row>
    <row r="295" spans="2:15" hidden="1" outlineLevel="1" x14ac:dyDescent="0.25"/>
    <row r="296" spans="2:15" hidden="1" outlineLevel="1" x14ac:dyDescent="0.25">
      <c r="B296" s="66" t="s">
        <v>677</v>
      </c>
    </row>
    <row r="297" spans="2:15" hidden="1" outlineLevel="1" x14ac:dyDescent="0.25">
      <c r="C297" s="1" t="s">
        <v>678</v>
      </c>
    </row>
    <row r="298" spans="2:15" hidden="1" outlineLevel="1" x14ac:dyDescent="0.25">
      <c r="C298" s="1" t="s">
        <v>679</v>
      </c>
    </row>
    <row r="299" spans="2:15" hidden="1" outlineLevel="1" x14ac:dyDescent="0.25">
      <c r="C299" s="1" t="s">
        <v>680</v>
      </c>
    </row>
    <row r="300" spans="2:15" hidden="1" outlineLevel="1" x14ac:dyDescent="0.25"/>
    <row r="301" spans="2:15" hidden="1" outlineLevel="1" x14ac:dyDescent="0.25">
      <c r="B301" s="66" t="s">
        <v>681</v>
      </c>
    </row>
    <row r="302" spans="2:15" hidden="1" outlineLevel="1" x14ac:dyDescent="0.25">
      <c r="C302" s="1" t="s">
        <v>682</v>
      </c>
    </row>
    <row r="303" spans="2:15" hidden="1" outlineLevel="1" x14ac:dyDescent="0.25">
      <c r="C303" s="1" t="s">
        <v>683</v>
      </c>
    </row>
    <row r="304" spans="2:15" hidden="1" outlineLevel="1" x14ac:dyDescent="0.25"/>
    <row r="305" spans="2:3" hidden="1" outlineLevel="1" x14ac:dyDescent="0.25">
      <c r="B305" s="66" t="s">
        <v>684</v>
      </c>
    </row>
    <row r="306" spans="2:3" hidden="1" outlineLevel="1" x14ac:dyDescent="0.25">
      <c r="C306" s="1" t="s">
        <v>685</v>
      </c>
    </row>
    <row r="307" spans="2:3" hidden="1" outlineLevel="1" x14ac:dyDescent="0.25">
      <c r="C307" s="1" t="s">
        <v>686</v>
      </c>
    </row>
    <row r="308" spans="2:3" hidden="1" outlineLevel="1" x14ac:dyDescent="0.25">
      <c r="C308" s="1" t="s">
        <v>687</v>
      </c>
    </row>
    <row r="309" spans="2:3" hidden="1" outlineLevel="1" x14ac:dyDescent="0.25"/>
    <row r="310" spans="2:3" hidden="1" outlineLevel="1" x14ac:dyDescent="0.25">
      <c r="B310" s="66" t="s">
        <v>688</v>
      </c>
    </row>
    <row r="311" spans="2:3" hidden="1" outlineLevel="1" x14ac:dyDescent="0.25">
      <c r="C311" s="1" t="s">
        <v>689</v>
      </c>
    </row>
    <row r="312" spans="2:3" hidden="1" outlineLevel="1" x14ac:dyDescent="0.25">
      <c r="C312" s="1" t="s">
        <v>690</v>
      </c>
    </row>
    <row r="313" spans="2:3" hidden="1" outlineLevel="1" x14ac:dyDescent="0.25"/>
    <row r="314" spans="2:3" hidden="1" outlineLevel="1" x14ac:dyDescent="0.25">
      <c r="B314" s="66" t="s">
        <v>644</v>
      </c>
    </row>
    <row r="315" spans="2:3" hidden="1" outlineLevel="1" x14ac:dyDescent="0.25">
      <c r="C315" s="1" t="s">
        <v>691</v>
      </c>
    </row>
    <row r="316" spans="2:3" hidden="1" outlineLevel="1" x14ac:dyDescent="0.25"/>
    <row r="317" spans="2:3" hidden="1" outlineLevel="1" x14ac:dyDescent="0.25">
      <c r="B317" s="66" t="s">
        <v>692</v>
      </c>
    </row>
    <row r="318" spans="2:3" hidden="1" outlineLevel="1" x14ac:dyDescent="0.25">
      <c r="C318" s="1" t="s">
        <v>693</v>
      </c>
    </row>
    <row r="319" spans="2:3" hidden="1" outlineLevel="1" x14ac:dyDescent="0.25">
      <c r="C319" s="1" t="s">
        <v>694</v>
      </c>
    </row>
    <row r="320" spans="2:3" hidden="1" outlineLevel="1" x14ac:dyDescent="0.25"/>
    <row r="321" spans="2:9" hidden="1" outlineLevel="1" x14ac:dyDescent="0.25">
      <c r="B321" s="66" t="s">
        <v>644</v>
      </c>
    </row>
    <row r="322" spans="2:9" hidden="1" outlineLevel="1" x14ac:dyDescent="0.25">
      <c r="C322" s="1" t="s">
        <v>695</v>
      </c>
    </row>
    <row r="323" spans="2:9" hidden="1" outlineLevel="1" x14ac:dyDescent="0.25">
      <c r="C323" s="1" t="s">
        <v>696</v>
      </c>
    </row>
    <row r="324" spans="2:9" hidden="1" outlineLevel="1" x14ac:dyDescent="0.25"/>
    <row r="325" spans="2:9" hidden="1" outlineLevel="1" x14ac:dyDescent="0.25">
      <c r="B325" s="66" t="s">
        <v>697</v>
      </c>
    </row>
    <row r="326" spans="2:9" hidden="1" outlineLevel="1" x14ac:dyDescent="0.25">
      <c r="C326" s="1" t="s">
        <v>698</v>
      </c>
    </row>
    <row r="327" spans="2:9" hidden="1" outlineLevel="1" x14ac:dyDescent="0.25"/>
    <row r="328" spans="2:9" hidden="1" outlineLevel="1" x14ac:dyDescent="0.25">
      <c r="B328" s="16" t="s">
        <v>699</v>
      </c>
    </row>
    <row r="329" spans="2:9" hidden="1" outlineLevel="1" x14ac:dyDescent="0.25">
      <c r="C329" s="190" t="s">
        <v>700</v>
      </c>
      <c r="D329" s="190"/>
      <c r="E329" s="190"/>
      <c r="F329" s="190"/>
      <c r="G329" s="190" t="s">
        <v>701</v>
      </c>
      <c r="H329" s="190"/>
    </row>
    <row r="330" spans="2:9" hidden="1" outlineLevel="1" x14ac:dyDescent="0.25">
      <c r="C330" s="160" t="s">
        <v>702</v>
      </c>
      <c r="D330" s="160"/>
      <c r="E330" s="160"/>
      <c r="F330" s="160"/>
      <c r="G330" s="160" t="s">
        <v>703</v>
      </c>
      <c r="H330" s="160"/>
    </row>
    <row r="331" spans="2:9" hidden="1" outlineLevel="1" x14ac:dyDescent="0.25">
      <c r="C331" s="160" t="s">
        <v>709</v>
      </c>
      <c r="D331" s="160"/>
      <c r="E331" s="160"/>
      <c r="F331" s="160"/>
      <c r="G331" s="160" t="s">
        <v>704</v>
      </c>
      <c r="H331" s="160"/>
    </row>
    <row r="332" spans="2:9" hidden="1" outlineLevel="1" x14ac:dyDescent="0.25">
      <c r="C332" s="160" t="s">
        <v>705</v>
      </c>
      <c r="D332" s="160"/>
      <c r="E332" s="160"/>
      <c r="F332" s="160"/>
      <c r="G332" s="160" t="s">
        <v>706</v>
      </c>
      <c r="H332" s="160"/>
    </row>
    <row r="333" spans="2:9" hidden="1" outlineLevel="1" x14ac:dyDescent="0.25">
      <c r="C333" s="160" t="s">
        <v>707</v>
      </c>
      <c r="D333" s="160"/>
      <c r="E333" s="160"/>
      <c r="F333" s="160"/>
      <c r="G333" s="160" t="s">
        <v>708</v>
      </c>
      <c r="H333" s="160"/>
    </row>
    <row r="334" spans="2:9" hidden="1" outlineLevel="1" x14ac:dyDescent="0.25">
      <c r="C334" s="190" t="s">
        <v>336</v>
      </c>
      <c r="D334" s="190"/>
      <c r="E334" s="190"/>
      <c r="F334" s="190"/>
      <c r="G334" s="190" t="s">
        <v>729</v>
      </c>
      <c r="H334" s="190"/>
      <c r="I334" s="1" t="s">
        <v>730</v>
      </c>
    </row>
    <row r="335" spans="2:9" hidden="1" outlineLevel="1" x14ac:dyDescent="0.25"/>
    <row r="336" spans="2:9" hidden="1" outlineLevel="1" x14ac:dyDescent="0.25">
      <c r="B336" s="16" t="s">
        <v>710</v>
      </c>
    </row>
    <row r="337" spans="2:4" hidden="1" outlineLevel="1" x14ac:dyDescent="0.25">
      <c r="C337" s="1" t="s">
        <v>711</v>
      </c>
    </row>
    <row r="338" spans="2:4" hidden="1" outlineLevel="1" x14ac:dyDescent="0.25">
      <c r="C338" s="1" t="s">
        <v>712</v>
      </c>
    </row>
    <row r="339" spans="2:4" hidden="1" outlineLevel="1" x14ac:dyDescent="0.25">
      <c r="D339" s="1" t="s">
        <v>713</v>
      </c>
    </row>
    <row r="340" spans="2:4" hidden="1" outlineLevel="1" x14ac:dyDescent="0.25">
      <c r="D340" s="1" t="s">
        <v>714</v>
      </c>
    </row>
    <row r="341" spans="2:4" hidden="1" outlineLevel="1" x14ac:dyDescent="0.25">
      <c r="D341" s="1" t="s">
        <v>715</v>
      </c>
    </row>
    <row r="342" spans="2:4" hidden="1" outlineLevel="1" x14ac:dyDescent="0.25">
      <c r="C342" s="1" t="s">
        <v>716</v>
      </c>
    </row>
    <row r="343" spans="2:4" hidden="1" outlineLevel="1" x14ac:dyDescent="0.25">
      <c r="D343" s="1" t="s">
        <v>717</v>
      </c>
    </row>
    <row r="344" spans="2:4" hidden="1" outlineLevel="1" x14ac:dyDescent="0.25">
      <c r="D344" s="1" t="s">
        <v>718</v>
      </c>
    </row>
    <row r="345" spans="2:4" hidden="1" outlineLevel="1" x14ac:dyDescent="0.25">
      <c r="D345" s="1" t="s">
        <v>719</v>
      </c>
    </row>
    <row r="346" spans="2:4" hidden="1" outlineLevel="1" x14ac:dyDescent="0.25">
      <c r="C346" s="16" t="s">
        <v>720</v>
      </c>
    </row>
    <row r="347" spans="2:4" hidden="1" outlineLevel="1" x14ac:dyDescent="0.25">
      <c r="D347" s="1" t="s">
        <v>721</v>
      </c>
    </row>
    <row r="348" spans="2:4" hidden="1" outlineLevel="1" x14ac:dyDescent="0.25">
      <c r="D348" s="1" t="s">
        <v>722</v>
      </c>
    </row>
    <row r="349" spans="2:4" hidden="1" outlineLevel="1" x14ac:dyDescent="0.25">
      <c r="D349" s="1" t="s">
        <v>723</v>
      </c>
    </row>
    <row r="350" spans="2:4" hidden="1" outlineLevel="1" x14ac:dyDescent="0.25">
      <c r="D350" s="16" t="s">
        <v>731</v>
      </c>
    </row>
    <row r="351" spans="2:4" hidden="1" outlineLevel="1" x14ac:dyDescent="0.25"/>
    <row r="352" spans="2:4" hidden="1" outlineLevel="1" x14ac:dyDescent="0.25">
      <c r="B352" s="16" t="s">
        <v>724</v>
      </c>
    </row>
    <row r="353" spans="3:4" hidden="1" outlineLevel="1" x14ac:dyDescent="0.25">
      <c r="C353" s="1" t="s">
        <v>872</v>
      </c>
    </row>
    <row r="354" spans="3:4" hidden="1" outlineLevel="1" x14ac:dyDescent="0.25">
      <c r="D354" s="1" t="s">
        <v>873</v>
      </c>
    </row>
    <row r="355" spans="3:4" hidden="1" outlineLevel="1" x14ac:dyDescent="0.25">
      <c r="D355" s="1" t="s">
        <v>725</v>
      </c>
    </row>
    <row r="356" spans="3:4" hidden="1" outlineLevel="1" x14ac:dyDescent="0.25">
      <c r="D356" s="1" t="s">
        <v>726</v>
      </c>
    </row>
    <row r="357" spans="3:4" hidden="1" outlineLevel="1" x14ac:dyDescent="0.25">
      <c r="C357" s="16" t="s">
        <v>732</v>
      </c>
    </row>
    <row r="358" spans="3:4" collapsed="1" x14ac:dyDescent="0.25"/>
  </sheetData>
  <mergeCells count="98">
    <mergeCell ref="D88:F88"/>
    <mergeCell ref="D91:F91"/>
    <mergeCell ref="G99:J99"/>
    <mergeCell ref="G100:J100"/>
    <mergeCell ref="D84:F84"/>
    <mergeCell ref="B9:C9"/>
    <mergeCell ref="G9:O9"/>
    <mergeCell ref="D82:F82"/>
    <mergeCell ref="D83:F83"/>
    <mergeCell ref="G6:O6"/>
    <mergeCell ref="G7:O7"/>
    <mergeCell ref="G8:O8"/>
    <mergeCell ref="G13:O13"/>
    <mergeCell ref="B6:C6"/>
    <mergeCell ref="B7:C7"/>
    <mergeCell ref="B8:C8"/>
    <mergeCell ref="B13:C13"/>
    <mergeCell ref="B11:C11"/>
    <mergeCell ref="G11:O11"/>
    <mergeCell ref="G12:O12"/>
    <mergeCell ref="G10:O10"/>
    <mergeCell ref="B12:C12"/>
    <mergeCell ref="I108:K108"/>
    <mergeCell ref="I109:K109"/>
    <mergeCell ref="I110:K110"/>
    <mergeCell ref="I111:K111"/>
    <mergeCell ref="D108:G108"/>
    <mergeCell ref="D109:G109"/>
    <mergeCell ref="D110:G110"/>
    <mergeCell ref="D111:G111"/>
    <mergeCell ref="B16:C16"/>
    <mergeCell ref="G16:O16"/>
    <mergeCell ref="G14:O14"/>
    <mergeCell ref="D85:F85"/>
    <mergeCell ref="D86:F86"/>
    <mergeCell ref="D87:F87"/>
    <mergeCell ref="G15:O15"/>
    <mergeCell ref="J123:L123"/>
    <mergeCell ref="D121:H121"/>
    <mergeCell ref="J117:L117"/>
    <mergeCell ref="D117:H117"/>
    <mergeCell ref="D118:H118"/>
    <mergeCell ref="D119:H119"/>
    <mergeCell ref="D120:H120"/>
    <mergeCell ref="J118:L118"/>
    <mergeCell ref="J119:L119"/>
    <mergeCell ref="J120:L120"/>
    <mergeCell ref="J121:L121"/>
    <mergeCell ref="J122:L122"/>
    <mergeCell ref="I131:J131"/>
    <mergeCell ref="I132:J132"/>
    <mergeCell ref="I133:J133"/>
    <mergeCell ref="I134:J134"/>
    <mergeCell ref="I135:J135"/>
    <mergeCell ref="I142:O142"/>
    <mergeCell ref="I143:O143"/>
    <mergeCell ref="D141:E141"/>
    <mergeCell ref="B14:C14"/>
    <mergeCell ref="E226:H226"/>
    <mergeCell ref="K131:L131"/>
    <mergeCell ref="K132:L132"/>
    <mergeCell ref="K133:L133"/>
    <mergeCell ref="K134:L134"/>
    <mergeCell ref="K135:L135"/>
    <mergeCell ref="I141:O141"/>
    <mergeCell ref="D131:F131"/>
    <mergeCell ref="D132:F132"/>
    <mergeCell ref="D133:F133"/>
    <mergeCell ref="D134:F134"/>
    <mergeCell ref="D135:F135"/>
    <mergeCell ref="E227:H227"/>
    <mergeCell ref="E228:H228"/>
    <mergeCell ref="E229:H229"/>
    <mergeCell ref="E230:H230"/>
    <mergeCell ref="B10:C10"/>
    <mergeCell ref="D122:H122"/>
    <mergeCell ref="D123:H123"/>
    <mergeCell ref="D92:F92"/>
    <mergeCell ref="D93:F93"/>
    <mergeCell ref="G101:J101"/>
    <mergeCell ref="G102:J102"/>
    <mergeCell ref="D94:F94"/>
    <mergeCell ref="D95:F95"/>
    <mergeCell ref="D96:F96"/>
    <mergeCell ref="D148:O149"/>
    <mergeCell ref="B15:C15"/>
    <mergeCell ref="C334:F334"/>
    <mergeCell ref="G329:H329"/>
    <mergeCell ref="G330:H330"/>
    <mergeCell ref="G331:H331"/>
    <mergeCell ref="G332:H332"/>
    <mergeCell ref="G333:H333"/>
    <mergeCell ref="G334:H334"/>
    <mergeCell ref="C329:F329"/>
    <mergeCell ref="C330:F330"/>
    <mergeCell ref="C331:F331"/>
    <mergeCell ref="C332:F332"/>
    <mergeCell ref="C333:F333"/>
  </mergeCells>
  <conditionalFormatting sqref="O1">
    <cfRule type="cellIs" dxfId="8" priority="1" operator="equal">
      <formula>"Aggressive"</formula>
    </cfRule>
    <cfRule type="cellIs" dxfId="7" priority="2" operator="equal">
      <formula>"Moderate"</formula>
    </cfRule>
    <cfRule type="cellIs" dxfId="6" priority="3" operator="equal">
      <formula>"Conservative"</formula>
    </cfRule>
  </conditionalFormatting>
  <hyperlinks>
    <hyperlink ref="B200" r:id="rId1" xr:uid="{B1CED85E-DCE9-466C-847F-54A59ABEB44C}"/>
    <hyperlink ref="B210" r:id="rId2" xr:uid="{AE0E9532-F630-4D7D-969B-9164104194B8}"/>
    <hyperlink ref="B245" r:id="rId3" xr:uid="{DC3216AC-6516-4C47-9A26-BFD597743E12}"/>
    <hyperlink ref="B20" r:id="rId4" xr:uid="{9427F5E4-F521-465E-AD7A-EC1BC2CB458A}"/>
    <hyperlink ref="B25" r:id="rId5" location=":~:text=Download%20Data%20Sheet,Sustainability%20High%2DPerformance%20Data%20Center" xr:uid="{56940CBE-222E-491D-9CDA-0516072D1E9B}"/>
    <hyperlink ref="B29" r:id="rId6" xr:uid="{0D1CEA6A-C6A6-484F-98DC-DE7D47652001}"/>
    <hyperlink ref="B37" r:id="rId7" xr:uid="{A5D813D7-7DA9-4543-9898-4B58D503B8AF}"/>
    <hyperlink ref="B40" r:id="rId8" xr:uid="{B82FA9A9-92B3-4B61-B0A6-C090673E7C00}"/>
    <hyperlink ref="B43" r:id="rId9" xr:uid="{9293956F-FC13-412A-A011-2C93E788F172}"/>
    <hyperlink ref="B168" r:id="rId10" xr:uid="{2AF75501-6B09-4ECC-A35B-A5FAA6A6F0C3}"/>
    <hyperlink ref="B171" r:id="rId11" xr:uid="{F7CFA69B-EF3F-48C9-BEFE-ABEA1F08ACAB}"/>
    <hyperlink ref="B173" r:id="rId12" xr:uid="{2531CCA0-C3EA-461A-BBC0-9C27D92FBA7F}"/>
    <hyperlink ref="B176" r:id="rId13" location=":~:text=While%20%E2%80%9C0%E2%80%9D%20is%20the%20ideal,a%20great%20goal%20to%20beat." xr:uid="{B56685B6-7D8A-49B6-866A-6C4509B155F7}"/>
    <hyperlink ref="B184" r:id="rId14" xr:uid="{AFF8414E-04D3-4EDA-8376-F32FB5AAF52A}"/>
    <hyperlink ref="B186" r:id="rId15" xr:uid="{F4581BF0-FBE6-4F72-B364-6E4762D3DC9E}"/>
    <hyperlink ref="B80" r:id="rId16" xr:uid="{9729932D-6F10-4294-AD5F-FE81F7B25880}"/>
    <hyperlink ref="B104" r:id="rId17" xr:uid="{FD0C37D9-AA65-42C2-832B-FF88E1944182}"/>
    <hyperlink ref="B114" r:id="rId18" xr:uid="{F14C087D-5B4D-45D7-8A04-C050AEE2397C}"/>
    <hyperlink ref="B146" r:id="rId19" xr:uid="{9F3821E8-D636-4432-97F1-CD91948310E4}"/>
    <hyperlink ref="B152" r:id="rId20" xr:uid="{CAD40AB0-DB58-4A19-9296-D835BD1FC316}"/>
    <hyperlink ref="B157" r:id="rId21" xr:uid="{B4A81C41-E6B3-4906-AD9B-92CFEFE02D67}"/>
    <hyperlink ref="B287" r:id="rId22" xr:uid="{30833CF4-00CD-4019-BB4E-81C5DDAE548E}"/>
    <hyperlink ref="B282" r:id="rId23" xr:uid="{99A9E353-6D53-4F49-8D33-796596901C36}"/>
    <hyperlink ref="B53" r:id="rId24" xr:uid="{9747FB46-1D2A-4EB6-A6D3-C37F2A8ADF85}"/>
    <hyperlink ref="B61" r:id="rId25" xr:uid="{7F909C20-764C-4C1A-BF7E-6767399DAE22}"/>
    <hyperlink ref="B66" r:id="rId26" xr:uid="{30A9F323-77DB-43D9-93E4-E972E964A8C4}"/>
    <hyperlink ref="B296" r:id="rId27" xr:uid="{3F07BC47-4C43-4DAB-B69F-F41D3D8227DF}"/>
    <hyperlink ref="B301" r:id="rId28" xr:uid="{1A72A96D-AF0B-4853-B74E-36D389BA8F60}"/>
    <hyperlink ref="B305" r:id="rId29" xr:uid="{1D82698A-1AC4-402D-BB14-06F4A203DDBF}"/>
    <hyperlink ref="B310" r:id="rId30" xr:uid="{E3F85397-C3D5-4038-A5D4-C7C6798C6BF9}"/>
    <hyperlink ref="B314" r:id="rId31" xr:uid="{FA6A3F5F-9B3D-4317-A8B0-8AD9DA038961}"/>
    <hyperlink ref="B317" r:id="rId32" xr:uid="{C4A33B6A-A23A-41A0-9569-98ADCF9D3819}"/>
    <hyperlink ref="B321" r:id="rId33" xr:uid="{3684621C-70A1-4F0E-96FE-90D6B54E8039}"/>
    <hyperlink ref="B325" r:id="rId34" xr:uid="{8665EEB8-2935-4962-97C9-7CE77BB29F31}"/>
  </hyperlinks>
  <pageMargins left="0.7" right="0.7" top="0.75" bottom="0.75" header="0.3" footer="0.3"/>
  <pageSetup orientation="portrait" r:id="rId35"/>
  <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AC96-CE94-4179-B9B5-792EC71BBCB7}">
  <dimension ref="B1:F60"/>
  <sheetViews>
    <sheetView showGridLines="0" zoomScale="130" zoomScaleNormal="130" workbookViewId="0"/>
  </sheetViews>
  <sheetFormatPr defaultColWidth="9.140625" defaultRowHeight="15" outlineLevelRow="1" x14ac:dyDescent="0.25"/>
  <cols>
    <col min="1" max="1" width="2.85546875" style="1" customWidth="1"/>
    <col min="2" max="2" width="24.140625" style="1" customWidth="1"/>
    <col min="3" max="3" width="12.7109375" style="1" customWidth="1"/>
    <col min="4" max="4" width="19" style="1" customWidth="1"/>
    <col min="5" max="5" width="19.140625" style="1" customWidth="1"/>
    <col min="6" max="6" width="75.7109375" style="1" customWidth="1"/>
    <col min="7" max="16384" width="9.140625" style="1"/>
  </cols>
  <sheetData>
    <row r="1" spans="2:6" ht="60" customHeight="1" x14ac:dyDescent="0.25">
      <c r="F1" s="129" t="s">
        <v>801</v>
      </c>
    </row>
    <row r="2" spans="2:6" ht="18.75" x14ac:dyDescent="0.3">
      <c r="B2" s="74" t="s">
        <v>632</v>
      </c>
    </row>
    <row r="4" spans="2:6" x14ac:dyDescent="0.25">
      <c r="B4" s="76" t="s">
        <v>783</v>
      </c>
      <c r="C4" s="76"/>
      <c r="D4" s="76"/>
      <c r="E4" s="76"/>
      <c r="F4" s="76"/>
    </row>
    <row r="6" spans="2:6" x14ac:dyDescent="0.25">
      <c r="B6" s="83" t="s">
        <v>771</v>
      </c>
      <c r="C6" s="83" t="s">
        <v>736</v>
      </c>
      <c r="D6" s="83" t="s">
        <v>119</v>
      </c>
      <c r="E6" s="83" t="s">
        <v>737</v>
      </c>
      <c r="F6" s="83" t="s">
        <v>629</v>
      </c>
    </row>
    <row r="7" spans="2:6" x14ac:dyDescent="0.25">
      <c r="B7" s="5" t="s">
        <v>4</v>
      </c>
      <c r="C7" s="2" t="s">
        <v>643</v>
      </c>
      <c r="D7" s="2" t="s">
        <v>660</v>
      </c>
      <c r="E7" s="2" t="s">
        <v>661</v>
      </c>
      <c r="F7" s="2"/>
    </row>
    <row r="8" spans="2:6" x14ac:dyDescent="0.25">
      <c r="B8" s="5" t="s">
        <v>631</v>
      </c>
      <c r="C8" s="7">
        <v>30000</v>
      </c>
      <c r="D8" s="10">
        <v>52000</v>
      </c>
      <c r="E8" s="10">
        <v>90000</v>
      </c>
      <c r="F8" s="2" t="s">
        <v>675</v>
      </c>
    </row>
    <row r="9" spans="2:6" x14ac:dyDescent="0.25">
      <c r="B9" s="5" t="s">
        <v>96</v>
      </c>
      <c r="C9" s="2">
        <v>700</v>
      </c>
      <c r="D9" s="2">
        <v>1050</v>
      </c>
      <c r="E9" s="2">
        <v>1580</v>
      </c>
      <c r="F9" s="2" t="s">
        <v>662</v>
      </c>
    </row>
    <row r="10" spans="2:6" x14ac:dyDescent="0.25">
      <c r="B10" s="5" t="s">
        <v>97</v>
      </c>
      <c r="C10" s="4">
        <v>0.8</v>
      </c>
      <c r="D10" s="108">
        <v>0.8</v>
      </c>
      <c r="E10" s="108">
        <v>0.8</v>
      </c>
      <c r="F10" s="2" t="s">
        <v>663</v>
      </c>
    </row>
    <row r="11" spans="2:6" ht="30" x14ac:dyDescent="0.25">
      <c r="B11" s="5" t="s">
        <v>106</v>
      </c>
      <c r="C11" s="91">
        <v>1275</v>
      </c>
      <c r="D11" s="25">
        <v>1910</v>
      </c>
      <c r="E11" s="25">
        <v>2870</v>
      </c>
      <c r="F11" s="2" t="s">
        <v>665</v>
      </c>
    </row>
    <row r="12" spans="2:6" ht="30" x14ac:dyDescent="0.25">
      <c r="B12" s="5" t="s">
        <v>641</v>
      </c>
      <c r="C12" s="91">
        <v>1979</v>
      </c>
      <c r="D12" s="25">
        <v>8400</v>
      </c>
      <c r="E12" s="25">
        <v>35600</v>
      </c>
      <c r="F12" s="2" t="s">
        <v>668</v>
      </c>
    </row>
    <row r="13" spans="2:6" ht="30" x14ac:dyDescent="0.25">
      <c r="B13" s="5" t="s">
        <v>630</v>
      </c>
      <c r="C13" s="28">
        <v>8.0000000000000002E-3</v>
      </c>
      <c r="D13" s="109">
        <v>8.0000000000000002E-3</v>
      </c>
      <c r="E13" s="109">
        <v>8.0000000000000002E-3</v>
      </c>
      <c r="F13" s="2" t="s">
        <v>663</v>
      </c>
    </row>
    <row r="14" spans="2:6" x14ac:dyDescent="0.25">
      <c r="B14" s="5" t="s">
        <v>642</v>
      </c>
      <c r="C14" s="2">
        <v>1.5</v>
      </c>
      <c r="D14" s="2">
        <v>2</v>
      </c>
      <c r="E14" s="2">
        <v>2.8</v>
      </c>
      <c r="F14" s="110" t="s">
        <v>664</v>
      </c>
    </row>
    <row r="16" spans="2:6" x14ac:dyDescent="0.25">
      <c r="B16" s="111" t="s">
        <v>666</v>
      </c>
      <c r="C16" s="111">
        <v>2.83</v>
      </c>
      <c r="D16" s="111">
        <v>8</v>
      </c>
      <c r="E16" s="111">
        <v>22.5</v>
      </c>
      <c r="F16" s="111" t="s">
        <v>667</v>
      </c>
    </row>
    <row r="17" spans="2:6" x14ac:dyDescent="0.25">
      <c r="C17" s="103"/>
      <c r="D17" s="103"/>
      <c r="E17" s="103"/>
    </row>
    <row r="18" spans="2:6" x14ac:dyDescent="0.25">
      <c r="B18" s="41" t="s">
        <v>782</v>
      </c>
    </row>
    <row r="20" spans="2:6" x14ac:dyDescent="0.25">
      <c r="B20" s="135" t="s">
        <v>791</v>
      </c>
      <c r="C20" s="135"/>
      <c r="D20" s="135"/>
      <c r="E20" s="135"/>
      <c r="F20" s="135"/>
    </row>
    <row r="21" spans="2:6" hidden="1" outlineLevel="1" x14ac:dyDescent="0.25"/>
    <row r="22" spans="2:6" hidden="1" outlineLevel="1" x14ac:dyDescent="0.25">
      <c r="B22" s="66" t="s">
        <v>633</v>
      </c>
    </row>
    <row r="23" spans="2:6" hidden="1" outlineLevel="1" x14ac:dyDescent="0.25">
      <c r="C23" s="1" t="s">
        <v>634</v>
      </c>
    </row>
    <row r="24" spans="2:6" hidden="1" outlineLevel="1" x14ac:dyDescent="0.25">
      <c r="C24" s="1" t="s">
        <v>635</v>
      </c>
    </row>
    <row r="25" spans="2:6" hidden="1" outlineLevel="1" x14ac:dyDescent="0.25">
      <c r="C25" s="86" t="s">
        <v>636</v>
      </c>
    </row>
    <row r="26" spans="2:6" hidden="1" outlineLevel="1" x14ac:dyDescent="0.25"/>
    <row r="27" spans="2:6" hidden="1" outlineLevel="1" x14ac:dyDescent="0.25">
      <c r="B27" s="66" t="s">
        <v>160</v>
      </c>
    </row>
    <row r="28" spans="2:6" hidden="1" outlineLevel="1" x14ac:dyDescent="0.25">
      <c r="C28" s="1" t="s">
        <v>161</v>
      </c>
    </row>
    <row r="29" spans="2:6" hidden="1" outlineLevel="1" x14ac:dyDescent="0.25">
      <c r="C29" s="1" t="s">
        <v>638</v>
      </c>
    </row>
    <row r="30" spans="2:6" hidden="1" outlineLevel="1" x14ac:dyDescent="0.25">
      <c r="C30" s="1" t="s">
        <v>637</v>
      </c>
    </row>
    <row r="31" spans="2:6" hidden="1" outlineLevel="1" x14ac:dyDescent="0.25"/>
    <row r="32" spans="2:6" hidden="1" outlineLevel="1" x14ac:dyDescent="0.25">
      <c r="B32" s="66" t="s">
        <v>162</v>
      </c>
    </row>
    <row r="33" spans="2:6" hidden="1" outlineLevel="1" x14ac:dyDescent="0.25">
      <c r="C33" s="1" t="s">
        <v>163</v>
      </c>
    </row>
    <row r="34" spans="2:6" hidden="1" outlineLevel="1" x14ac:dyDescent="0.25">
      <c r="C34" s="1" t="s">
        <v>639</v>
      </c>
    </row>
    <row r="35" spans="2:6" hidden="1" outlineLevel="1" x14ac:dyDescent="0.25">
      <c r="C35" s="1" t="s">
        <v>640</v>
      </c>
    </row>
    <row r="36" spans="2:6" collapsed="1" x14ac:dyDescent="0.25"/>
    <row r="37" spans="2:6" x14ac:dyDescent="0.25">
      <c r="B37" s="135" t="s">
        <v>827</v>
      </c>
      <c r="C37" s="135"/>
      <c r="D37" s="135"/>
      <c r="E37" s="135"/>
      <c r="F37" s="135"/>
    </row>
    <row r="38" spans="2:6" hidden="1" outlineLevel="1" x14ac:dyDescent="0.25"/>
    <row r="39" spans="2:6" hidden="1" outlineLevel="1" x14ac:dyDescent="0.25">
      <c r="B39" s="16" t="s">
        <v>648</v>
      </c>
    </row>
    <row r="40" spans="2:6" hidden="1" outlineLevel="1" x14ac:dyDescent="0.25">
      <c r="B40" s="104" t="s">
        <v>644</v>
      </c>
    </row>
    <row r="41" spans="2:6" hidden="1" outlineLevel="1" x14ac:dyDescent="0.25">
      <c r="C41" s="1" t="s">
        <v>645</v>
      </c>
    </row>
    <row r="42" spans="2:6" hidden="1" outlineLevel="1" x14ac:dyDescent="0.25">
      <c r="C42" s="1" t="s">
        <v>646</v>
      </c>
    </row>
    <row r="43" spans="2:6" hidden="1" outlineLevel="1" x14ac:dyDescent="0.25">
      <c r="C43" s="1" t="s">
        <v>647</v>
      </c>
      <c r="D43" s="16"/>
    </row>
    <row r="44" spans="2:6" hidden="1" outlineLevel="1" x14ac:dyDescent="0.25">
      <c r="D44" s="105"/>
    </row>
    <row r="45" spans="2:6" hidden="1" outlineLevel="1" x14ac:dyDescent="0.25">
      <c r="B45" s="16" t="s">
        <v>649</v>
      </c>
      <c r="D45" s="106"/>
    </row>
    <row r="46" spans="2:6" hidden="1" outlineLevel="1" x14ac:dyDescent="0.25">
      <c r="B46" s="104" t="s">
        <v>644</v>
      </c>
      <c r="D46" s="106"/>
      <c r="E46" s="107"/>
    </row>
    <row r="47" spans="2:6" hidden="1" outlineLevel="1" x14ac:dyDescent="0.25">
      <c r="B47" s="104"/>
      <c r="C47" s="1" t="s">
        <v>650</v>
      </c>
      <c r="E47" s="107"/>
    </row>
    <row r="48" spans="2:6" hidden="1" outlineLevel="1" x14ac:dyDescent="0.25">
      <c r="E48" s="107"/>
    </row>
    <row r="49" spans="2:6" hidden="1" outlineLevel="1" x14ac:dyDescent="0.25">
      <c r="B49" s="16" t="s">
        <v>651</v>
      </c>
    </row>
    <row r="50" spans="2:6" hidden="1" outlineLevel="1" x14ac:dyDescent="0.25">
      <c r="B50" s="104" t="s">
        <v>652</v>
      </c>
    </row>
    <row r="51" spans="2:6" hidden="1" outlineLevel="1" x14ac:dyDescent="0.25">
      <c r="C51" s="1" t="s">
        <v>653</v>
      </c>
    </row>
    <row r="52" spans="2:6" hidden="1" outlineLevel="1" x14ac:dyDescent="0.25">
      <c r="B52" s="92"/>
      <c r="C52" s="92" t="s">
        <v>654</v>
      </c>
      <c r="D52" s="92"/>
      <c r="E52" s="92"/>
      <c r="F52" s="92"/>
    </row>
    <row r="53" spans="2:6" hidden="1" outlineLevel="1" x14ac:dyDescent="0.25">
      <c r="B53" s="16" t="s">
        <v>799</v>
      </c>
    </row>
    <row r="54" spans="2:6" hidden="1" outlineLevel="1" x14ac:dyDescent="0.25">
      <c r="C54" s="1" t="s">
        <v>655</v>
      </c>
    </row>
    <row r="55" spans="2:6" hidden="1" outlineLevel="1" x14ac:dyDescent="0.25">
      <c r="C55" s="1" t="s">
        <v>656</v>
      </c>
    </row>
    <row r="56" spans="2:6" hidden="1" outlineLevel="1" x14ac:dyDescent="0.25">
      <c r="C56" s="1" t="s">
        <v>657</v>
      </c>
    </row>
    <row r="57" spans="2:6" hidden="1" outlineLevel="1" x14ac:dyDescent="0.25">
      <c r="C57" s="1" t="s">
        <v>658</v>
      </c>
    </row>
    <row r="58" spans="2:6" hidden="1" outlineLevel="1" x14ac:dyDescent="0.25">
      <c r="C58" s="1" t="s">
        <v>676</v>
      </c>
    </row>
    <row r="59" spans="2:6" hidden="1" outlineLevel="1" x14ac:dyDescent="0.25">
      <c r="C59" s="1" t="s">
        <v>659</v>
      </c>
    </row>
    <row r="60" spans="2:6" collapsed="1" x14ac:dyDescent="0.25"/>
  </sheetData>
  <conditionalFormatting sqref="F1">
    <cfRule type="cellIs" dxfId="5" priority="1" operator="equal">
      <formula>"Aggressive"</formula>
    </cfRule>
    <cfRule type="cellIs" dxfId="4" priority="2" operator="equal">
      <formula>"Moderate"</formula>
    </cfRule>
    <cfRule type="cellIs" dxfId="3" priority="3" operator="equal">
      <formula>"Conservative"</formula>
    </cfRule>
  </conditionalFormatting>
  <hyperlinks>
    <hyperlink ref="B18" r:id="rId1" display="H100 Datasheet" xr:uid="{877B5950-57E6-47ED-8B45-6143418C9D45}"/>
    <hyperlink ref="B22" r:id="rId2" xr:uid="{95C82E42-CA86-47A2-937C-06CD09F66241}"/>
    <hyperlink ref="B27" r:id="rId3" xr:uid="{27DB4AA6-ED05-4BCF-B890-DF1FCD663481}"/>
    <hyperlink ref="B32" r:id="rId4" xr:uid="{7F96D641-1D76-41FB-B379-2415E30A7C85}"/>
    <hyperlink ref="B40" r:id="rId5" xr:uid="{A16A5294-DA0D-49DF-81E7-A17012C5FB8F}"/>
    <hyperlink ref="B46" r:id="rId6" xr:uid="{6A987D67-024A-4F14-AE17-701836FD727B}"/>
    <hyperlink ref="B50" r:id="rId7" xr:uid="{8F4AFB1F-2F7D-4FA9-9673-BA5949654D0D}"/>
  </hyperlinks>
  <pageMargins left="0.7" right="0.7" top="0.75" bottom="0.75" header="0.3" footer="0.3"/>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53D5-0443-445D-8D41-FBAE3A7B1F11}">
  <dimension ref="B1:O289"/>
  <sheetViews>
    <sheetView showGridLines="0" zoomScale="145" zoomScaleNormal="145" workbookViewId="0"/>
  </sheetViews>
  <sheetFormatPr defaultColWidth="9.140625" defaultRowHeight="15" outlineLevelRow="1" x14ac:dyDescent="0.25"/>
  <cols>
    <col min="1" max="1" width="2.85546875" style="1" customWidth="1"/>
    <col min="2" max="5" width="9.140625" style="1"/>
    <col min="6" max="6" width="14.42578125" style="1" customWidth="1"/>
    <col min="7" max="7" width="14" style="1" customWidth="1"/>
    <col min="8" max="8" width="16.140625" style="1" customWidth="1"/>
    <col min="9" max="16384" width="9.140625" style="1"/>
  </cols>
  <sheetData>
    <row r="1" spans="2:15" ht="60" customHeight="1" x14ac:dyDescent="0.25">
      <c r="J1" s="128"/>
      <c r="O1" s="129" t="s">
        <v>801</v>
      </c>
    </row>
    <row r="2" spans="2:15" ht="18.75" x14ac:dyDescent="0.3">
      <c r="B2" s="74" t="s">
        <v>450</v>
      </c>
    </row>
    <row r="4" spans="2:15" x14ac:dyDescent="0.25">
      <c r="B4" s="76" t="s">
        <v>783</v>
      </c>
      <c r="C4" s="76"/>
      <c r="D4" s="76"/>
      <c r="E4" s="76"/>
      <c r="F4" s="76"/>
      <c r="G4" s="76"/>
      <c r="H4" s="76"/>
      <c r="I4" s="76"/>
      <c r="J4" s="76"/>
      <c r="K4" s="76"/>
      <c r="L4" s="76"/>
      <c r="M4" s="76"/>
      <c r="N4" s="76"/>
      <c r="O4" s="76"/>
    </row>
    <row r="6" spans="2:15" ht="15" customHeight="1" x14ac:dyDescent="0.25">
      <c r="B6" s="198" t="s">
        <v>771</v>
      </c>
      <c r="C6" s="198"/>
      <c r="D6" s="198"/>
      <c r="E6" s="198"/>
      <c r="F6" s="77" t="s">
        <v>736</v>
      </c>
      <c r="G6" s="77" t="s">
        <v>119</v>
      </c>
      <c r="H6" s="77" t="s">
        <v>737</v>
      </c>
      <c r="I6" s="198" t="s">
        <v>629</v>
      </c>
      <c r="J6" s="198"/>
      <c r="K6" s="198"/>
      <c r="L6" s="198"/>
      <c r="M6" s="198"/>
      <c r="N6" s="198"/>
      <c r="O6" s="198"/>
    </row>
    <row r="7" spans="2:15" ht="30" customHeight="1" x14ac:dyDescent="0.25">
      <c r="B7" s="163" t="s">
        <v>451</v>
      </c>
      <c r="C7" s="163"/>
      <c r="D7" s="163"/>
      <c r="E7" s="163"/>
      <c r="F7" s="56">
        <v>50</v>
      </c>
      <c r="G7" s="56">
        <v>29.62</v>
      </c>
      <c r="H7" s="56">
        <v>15</v>
      </c>
      <c r="I7" s="163" t="s">
        <v>623</v>
      </c>
      <c r="J7" s="163"/>
      <c r="K7" s="163"/>
      <c r="L7" s="163"/>
      <c r="M7" s="163"/>
      <c r="N7" s="163"/>
      <c r="O7" s="163"/>
    </row>
    <row r="8" spans="2:15" ht="15" customHeight="1" x14ac:dyDescent="0.25">
      <c r="B8" s="163" t="s">
        <v>452</v>
      </c>
      <c r="C8" s="163"/>
      <c r="D8" s="163"/>
      <c r="E8" s="163"/>
      <c r="F8" s="5">
        <f>1/96</f>
        <v>1.0416666666666666E-2</v>
      </c>
      <c r="G8" s="5">
        <f>1/303</f>
        <v>3.3003300330033004E-3</v>
      </c>
      <c r="H8" s="5">
        <f>1/3000</f>
        <v>3.3333333333333332E-4</v>
      </c>
      <c r="I8" s="163" t="s">
        <v>624</v>
      </c>
      <c r="J8" s="163"/>
      <c r="K8" s="163"/>
      <c r="L8" s="163"/>
      <c r="M8" s="163"/>
      <c r="N8" s="163"/>
      <c r="O8" s="163"/>
    </row>
    <row r="9" spans="2:15" ht="15" customHeight="1" x14ac:dyDescent="0.25">
      <c r="B9" s="163" t="s">
        <v>453</v>
      </c>
      <c r="C9" s="163"/>
      <c r="D9" s="163"/>
      <c r="E9" s="163"/>
      <c r="F9" s="5">
        <v>350</v>
      </c>
      <c r="G9" s="5">
        <v>400</v>
      </c>
      <c r="H9" s="5">
        <v>500</v>
      </c>
      <c r="I9" s="163" t="s">
        <v>625</v>
      </c>
      <c r="J9" s="163"/>
      <c r="K9" s="163"/>
      <c r="L9" s="163"/>
      <c r="M9" s="163"/>
      <c r="N9" s="163"/>
      <c r="O9" s="163"/>
    </row>
    <row r="10" spans="2:15" ht="15" customHeight="1" x14ac:dyDescent="0.25">
      <c r="B10" s="163" t="s">
        <v>813</v>
      </c>
      <c r="C10" s="163"/>
      <c r="D10" s="163"/>
      <c r="E10" s="163"/>
      <c r="F10" s="5">
        <v>0.91</v>
      </c>
      <c r="G10" s="5">
        <v>0.95</v>
      </c>
      <c r="H10" s="5">
        <v>0.97</v>
      </c>
      <c r="I10" s="163" t="s">
        <v>625</v>
      </c>
      <c r="J10" s="163"/>
      <c r="K10" s="163"/>
      <c r="L10" s="163"/>
      <c r="M10" s="163"/>
      <c r="N10" s="163"/>
      <c r="O10" s="163"/>
    </row>
    <row r="11" spans="2:15" x14ac:dyDescent="0.25">
      <c r="B11" s="163" t="s">
        <v>454</v>
      </c>
      <c r="C11" s="163"/>
      <c r="D11" s="163"/>
      <c r="E11" s="163"/>
      <c r="F11" s="5">
        <v>6</v>
      </c>
      <c r="G11" s="5">
        <v>5</v>
      </c>
      <c r="H11" s="5">
        <v>4</v>
      </c>
      <c r="I11" s="163" t="s">
        <v>626</v>
      </c>
      <c r="J11" s="163"/>
      <c r="K11" s="163"/>
      <c r="L11" s="163"/>
      <c r="M11" s="163"/>
      <c r="N11" s="163"/>
      <c r="O11" s="163"/>
    </row>
    <row r="12" spans="2:15" x14ac:dyDescent="0.25">
      <c r="B12" s="216" t="s">
        <v>455</v>
      </c>
      <c r="C12" s="216"/>
      <c r="D12" s="216"/>
      <c r="E12" s="216"/>
      <c r="F12" s="100">
        <v>210</v>
      </c>
      <c r="G12" s="100">
        <v>189</v>
      </c>
      <c r="H12" s="100">
        <v>170</v>
      </c>
      <c r="I12" s="163" t="s">
        <v>627</v>
      </c>
      <c r="J12" s="163"/>
      <c r="K12" s="163"/>
      <c r="L12" s="163"/>
      <c r="M12" s="163"/>
      <c r="N12" s="163"/>
      <c r="O12" s="163"/>
    </row>
    <row r="13" spans="2:15" ht="45" customHeight="1" x14ac:dyDescent="0.25">
      <c r="B13" s="216" t="s">
        <v>602</v>
      </c>
      <c r="C13" s="216"/>
      <c r="D13" s="216"/>
      <c r="E13" s="216"/>
      <c r="F13" s="101">
        <v>0.40899999999999997</v>
      </c>
      <c r="G13" s="101">
        <v>0.40899999999999997</v>
      </c>
      <c r="H13" s="101">
        <v>0.40899999999999997</v>
      </c>
      <c r="I13" s="163" t="s">
        <v>628</v>
      </c>
      <c r="J13" s="163"/>
      <c r="K13" s="163"/>
      <c r="L13" s="163"/>
      <c r="M13" s="163"/>
      <c r="N13" s="163"/>
      <c r="O13" s="163"/>
    </row>
    <row r="14" spans="2:15" ht="30" customHeight="1" x14ac:dyDescent="0.25">
      <c r="B14" s="216" t="s">
        <v>603</v>
      </c>
      <c r="C14" s="216"/>
      <c r="D14" s="216"/>
      <c r="E14" s="216"/>
      <c r="F14" s="101">
        <v>0.3</v>
      </c>
      <c r="G14" s="101">
        <v>0.25</v>
      </c>
      <c r="H14" s="101">
        <v>0.2</v>
      </c>
      <c r="I14" s="163" t="s">
        <v>627</v>
      </c>
      <c r="J14" s="163"/>
      <c r="K14" s="163"/>
      <c r="L14" s="163"/>
      <c r="M14" s="163"/>
      <c r="N14" s="163"/>
      <c r="O14" s="163"/>
    </row>
    <row r="15" spans="2:15" ht="15" customHeight="1" x14ac:dyDescent="0.25">
      <c r="B15" s="163" t="s">
        <v>456</v>
      </c>
      <c r="C15" s="163"/>
      <c r="D15" s="163"/>
      <c r="E15" s="163"/>
      <c r="F15" s="57">
        <v>17500</v>
      </c>
      <c r="G15" s="57">
        <v>100000</v>
      </c>
      <c r="H15" s="57">
        <v>200000</v>
      </c>
      <c r="I15" s="208" t="s">
        <v>862</v>
      </c>
      <c r="J15" s="209"/>
      <c r="K15" s="209"/>
      <c r="L15" s="209"/>
      <c r="M15" s="209"/>
      <c r="N15" s="209"/>
      <c r="O15" s="210"/>
    </row>
    <row r="16" spans="2:15" ht="15" customHeight="1" x14ac:dyDescent="0.25">
      <c r="B16" s="163" t="s">
        <v>619</v>
      </c>
      <c r="C16" s="163"/>
      <c r="D16" s="163"/>
      <c r="E16" s="163"/>
      <c r="F16" s="58">
        <v>70000000</v>
      </c>
      <c r="G16" s="58">
        <v>90000000</v>
      </c>
      <c r="H16" s="58">
        <v>20000000</v>
      </c>
      <c r="I16" s="208" t="s">
        <v>862</v>
      </c>
      <c r="J16" s="209"/>
      <c r="K16" s="209"/>
      <c r="L16" s="209"/>
      <c r="M16" s="209"/>
      <c r="N16" s="209"/>
      <c r="O16" s="210"/>
    </row>
    <row r="17" spans="2:15" ht="15" customHeight="1" x14ac:dyDescent="0.25">
      <c r="B17" s="163" t="s">
        <v>457</v>
      </c>
      <c r="C17" s="163"/>
      <c r="D17" s="163"/>
      <c r="E17" s="163"/>
      <c r="F17" s="5">
        <v>167</v>
      </c>
      <c r="G17" s="5">
        <v>52</v>
      </c>
      <c r="H17" s="5">
        <v>365</v>
      </c>
      <c r="I17" s="208" t="s">
        <v>862</v>
      </c>
      <c r="J17" s="209"/>
      <c r="K17" s="209"/>
      <c r="L17" s="209"/>
      <c r="M17" s="209"/>
      <c r="N17" s="209"/>
      <c r="O17" s="210"/>
    </row>
    <row r="18" spans="2:15" x14ac:dyDescent="0.25">
      <c r="B18" s="163" t="s">
        <v>761</v>
      </c>
      <c r="C18" s="163"/>
      <c r="D18" s="163"/>
      <c r="E18" s="163"/>
      <c r="F18" s="58">
        <v>250000000</v>
      </c>
      <c r="G18" s="58">
        <v>250000000</v>
      </c>
      <c r="H18" s="58">
        <v>250000000</v>
      </c>
      <c r="I18" s="163" t="s">
        <v>762</v>
      </c>
      <c r="J18" s="163"/>
      <c r="K18" s="163"/>
      <c r="L18" s="163"/>
      <c r="M18" s="163"/>
      <c r="N18" s="163"/>
      <c r="O18" s="163"/>
    </row>
    <row r="20" spans="2:15" ht="15" customHeight="1" x14ac:dyDescent="0.25">
      <c r="B20" s="214" t="s">
        <v>789</v>
      </c>
      <c r="C20" s="215"/>
      <c r="D20" s="215"/>
      <c r="E20" s="215"/>
      <c r="F20" s="215"/>
      <c r="G20" s="215"/>
      <c r="H20" s="215"/>
      <c r="I20" s="215"/>
      <c r="J20" s="215"/>
      <c r="K20" s="215"/>
      <c r="L20" s="215"/>
      <c r="M20" s="215"/>
      <c r="N20" s="215"/>
      <c r="O20" s="215"/>
    </row>
    <row r="21" spans="2:15" hidden="1" outlineLevel="1" x14ac:dyDescent="0.25"/>
    <row r="22" spans="2:15" hidden="1" outlineLevel="1" x14ac:dyDescent="0.25">
      <c r="B22" s="66" t="s">
        <v>459</v>
      </c>
    </row>
    <row r="23" spans="2:15" hidden="1" outlineLevel="1" x14ac:dyDescent="0.25">
      <c r="C23" s="1" t="s">
        <v>458</v>
      </c>
    </row>
    <row r="24" spans="2:15" hidden="1" outlineLevel="1" x14ac:dyDescent="0.25">
      <c r="C24" s="1" t="s">
        <v>460</v>
      </c>
    </row>
    <row r="25" spans="2:15" hidden="1" outlineLevel="1" x14ac:dyDescent="0.25">
      <c r="D25" s="1" t="s">
        <v>461</v>
      </c>
    </row>
    <row r="26" spans="2:15" hidden="1" outlineLevel="1" x14ac:dyDescent="0.25"/>
    <row r="27" spans="2:15" hidden="1" outlineLevel="1" x14ac:dyDescent="0.25">
      <c r="B27" s="66" t="s">
        <v>462</v>
      </c>
    </row>
    <row r="28" spans="2:15" hidden="1" outlineLevel="1" x14ac:dyDescent="0.25">
      <c r="C28" s="1" t="s">
        <v>463</v>
      </c>
    </row>
    <row r="29" spans="2:15" hidden="1" outlineLevel="1" x14ac:dyDescent="0.25">
      <c r="C29" s="1" t="s">
        <v>464</v>
      </c>
    </row>
    <row r="30" spans="2:15" hidden="1" outlineLevel="1" x14ac:dyDescent="0.25">
      <c r="C30" s="16" t="s">
        <v>465</v>
      </c>
    </row>
    <row r="31" spans="2:15" hidden="1" outlineLevel="1" x14ac:dyDescent="0.25">
      <c r="C31" s="1" t="s">
        <v>466</v>
      </c>
    </row>
    <row r="32" spans="2:15" hidden="1" outlineLevel="1" x14ac:dyDescent="0.25">
      <c r="C32" s="1" t="s">
        <v>467</v>
      </c>
    </row>
    <row r="33" spans="2:4" hidden="1" outlineLevel="1" x14ac:dyDescent="0.25">
      <c r="C33" s="1" t="s">
        <v>468</v>
      </c>
    </row>
    <row r="34" spans="2:4" hidden="1" outlineLevel="1" x14ac:dyDescent="0.25">
      <c r="D34" s="1" t="s">
        <v>469</v>
      </c>
    </row>
    <row r="35" spans="2:4" hidden="1" outlineLevel="1" x14ac:dyDescent="0.25"/>
    <row r="36" spans="2:4" hidden="1" outlineLevel="1" x14ac:dyDescent="0.25">
      <c r="B36" s="66" t="s">
        <v>470</v>
      </c>
    </row>
    <row r="37" spans="2:4" hidden="1" outlineLevel="1" x14ac:dyDescent="0.25">
      <c r="C37" s="1" t="s">
        <v>471</v>
      </c>
    </row>
    <row r="38" spans="2:4" hidden="1" outlineLevel="1" x14ac:dyDescent="0.25"/>
    <row r="39" spans="2:4" hidden="1" outlineLevel="1" x14ac:dyDescent="0.25">
      <c r="B39" s="66" t="s">
        <v>489</v>
      </c>
    </row>
    <row r="40" spans="2:4" hidden="1" outlineLevel="1" x14ac:dyDescent="0.25">
      <c r="C40" s="1" t="s">
        <v>490</v>
      </c>
    </row>
    <row r="41" spans="2:4" hidden="1" outlineLevel="1" x14ac:dyDescent="0.25">
      <c r="C41" s="1" t="s">
        <v>491</v>
      </c>
    </row>
    <row r="42" spans="2:4" hidden="1" outlineLevel="1" x14ac:dyDescent="0.25">
      <c r="D42" s="1" t="s">
        <v>492</v>
      </c>
    </row>
    <row r="43" spans="2:4" hidden="1" outlineLevel="1" x14ac:dyDescent="0.25"/>
    <row r="44" spans="2:4" hidden="1" outlineLevel="1" x14ac:dyDescent="0.25">
      <c r="B44" s="66" t="s">
        <v>472</v>
      </c>
    </row>
    <row r="45" spans="2:4" hidden="1" outlineLevel="1" x14ac:dyDescent="0.25">
      <c r="C45" s="1" t="s">
        <v>473</v>
      </c>
    </row>
    <row r="46" spans="2:4" hidden="1" outlineLevel="1" x14ac:dyDescent="0.25">
      <c r="C46" s="1" t="s">
        <v>474</v>
      </c>
    </row>
    <row r="47" spans="2:4" hidden="1" outlineLevel="1" x14ac:dyDescent="0.25">
      <c r="C47" s="1" t="s">
        <v>475</v>
      </c>
    </row>
    <row r="48" spans="2:4" hidden="1" outlineLevel="1" x14ac:dyDescent="0.25">
      <c r="C48" s="1" t="s">
        <v>476</v>
      </c>
    </row>
    <row r="49" spans="2:4" hidden="1" outlineLevel="1" x14ac:dyDescent="0.25">
      <c r="C49" s="1" t="s">
        <v>478</v>
      </c>
    </row>
    <row r="50" spans="2:4" hidden="1" outlineLevel="1" x14ac:dyDescent="0.25">
      <c r="C50" s="1" t="s">
        <v>477</v>
      </c>
    </row>
    <row r="51" spans="2:4" hidden="1" outlineLevel="1" x14ac:dyDescent="0.25">
      <c r="C51" s="64">
        <f>462/15.6</f>
        <v>29.615384615384617</v>
      </c>
      <c r="D51" s="1" t="s">
        <v>479</v>
      </c>
    </row>
    <row r="52" spans="2:4" hidden="1" outlineLevel="1" x14ac:dyDescent="0.25">
      <c r="C52" s="1" t="s">
        <v>480</v>
      </c>
    </row>
    <row r="53" spans="2:4" hidden="1" outlineLevel="1" x14ac:dyDescent="0.25">
      <c r="C53" s="1" t="s">
        <v>481</v>
      </c>
    </row>
    <row r="54" spans="2:4" hidden="1" outlineLevel="1" x14ac:dyDescent="0.25"/>
    <row r="55" spans="2:4" hidden="1" outlineLevel="1" x14ac:dyDescent="0.25">
      <c r="B55" s="66" t="s">
        <v>113</v>
      </c>
    </row>
    <row r="56" spans="2:4" hidden="1" outlineLevel="1" x14ac:dyDescent="0.25">
      <c r="C56" s="1" t="s">
        <v>482</v>
      </c>
    </row>
    <row r="57" spans="2:4" hidden="1" outlineLevel="1" x14ac:dyDescent="0.25">
      <c r="C57" s="1" t="s">
        <v>486</v>
      </c>
    </row>
    <row r="58" spans="2:4" hidden="1" outlineLevel="1" x14ac:dyDescent="0.25">
      <c r="D58" s="1" t="s">
        <v>483</v>
      </c>
    </row>
    <row r="59" spans="2:4" hidden="1" outlineLevel="1" x14ac:dyDescent="0.25">
      <c r="D59" s="1" t="s">
        <v>484</v>
      </c>
    </row>
    <row r="60" spans="2:4" hidden="1" outlineLevel="1" x14ac:dyDescent="0.25">
      <c r="D60" s="1" t="s">
        <v>485</v>
      </c>
    </row>
    <row r="61" spans="2:4" hidden="1" outlineLevel="1" x14ac:dyDescent="0.25"/>
    <row r="62" spans="2:4" hidden="1" outlineLevel="1" x14ac:dyDescent="0.25">
      <c r="B62" s="16" t="s">
        <v>237</v>
      </c>
    </row>
    <row r="63" spans="2:4" hidden="1" outlineLevel="1" x14ac:dyDescent="0.25">
      <c r="C63" s="1" t="s">
        <v>610</v>
      </c>
    </row>
    <row r="64" spans="2:4" hidden="1" outlineLevel="1" x14ac:dyDescent="0.25">
      <c r="D64" s="1" t="s">
        <v>611</v>
      </c>
    </row>
    <row r="65" spans="2:15" hidden="1" outlineLevel="1" x14ac:dyDescent="0.25">
      <c r="C65" s="1" t="s">
        <v>487</v>
      </c>
    </row>
    <row r="66" spans="2:15" hidden="1" outlineLevel="1" x14ac:dyDescent="0.25">
      <c r="C66" s="1" t="s">
        <v>488</v>
      </c>
    </row>
    <row r="67" spans="2:15" collapsed="1" x14ac:dyDescent="0.25"/>
    <row r="68" spans="2:15" ht="15" customHeight="1" x14ac:dyDescent="0.25">
      <c r="B68" s="214" t="s">
        <v>790</v>
      </c>
      <c r="C68" s="215"/>
      <c r="D68" s="215"/>
      <c r="E68" s="215"/>
      <c r="F68" s="215"/>
      <c r="G68" s="215"/>
      <c r="H68" s="215"/>
      <c r="I68" s="215"/>
      <c r="J68" s="215"/>
      <c r="K68" s="215"/>
      <c r="L68" s="215"/>
      <c r="M68" s="215"/>
      <c r="N68" s="215"/>
      <c r="O68" s="215"/>
    </row>
    <row r="69" spans="2:15" hidden="1" outlineLevel="1" x14ac:dyDescent="0.25"/>
    <row r="70" spans="2:15" hidden="1" outlineLevel="1" x14ac:dyDescent="0.25">
      <c r="B70" s="66" t="s">
        <v>493</v>
      </c>
    </row>
    <row r="71" spans="2:15" hidden="1" outlineLevel="1" x14ac:dyDescent="0.25">
      <c r="C71" s="1" t="s">
        <v>494</v>
      </c>
    </row>
    <row r="72" spans="2:15" hidden="1" outlineLevel="1" x14ac:dyDescent="0.25">
      <c r="C72" s="1" t="s">
        <v>495</v>
      </c>
    </row>
    <row r="73" spans="2:15" hidden="1" outlineLevel="1" x14ac:dyDescent="0.25">
      <c r="C73" s="1" t="s">
        <v>496</v>
      </c>
    </row>
    <row r="74" spans="2:15" hidden="1" outlineLevel="1" x14ac:dyDescent="0.25">
      <c r="C74" s="16" t="s">
        <v>497</v>
      </c>
    </row>
    <row r="75" spans="2:15" hidden="1" outlineLevel="1" x14ac:dyDescent="0.25">
      <c r="C75" s="16"/>
    </row>
    <row r="76" spans="2:15" hidden="1" outlineLevel="1" x14ac:dyDescent="0.25">
      <c r="B76" s="66" t="s">
        <v>498</v>
      </c>
    </row>
    <row r="77" spans="2:15" hidden="1" outlineLevel="1" x14ac:dyDescent="0.25">
      <c r="C77" s="1" t="s">
        <v>499</v>
      </c>
    </row>
    <row r="78" spans="2:15" hidden="1" outlineLevel="1" x14ac:dyDescent="0.25">
      <c r="C78" s="1" t="s">
        <v>500</v>
      </c>
    </row>
    <row r="79" spans="2:15" hidden="1" outlineLevel="1" x14ac:dyDescent="0.25">
      <c r="C79" s="1" t="s">
        <v>501</v>
      </c>
    </row>
    <row r="80" spans="2:15" hidden="1" outlineLevel="1" x14ac:dyDescent="0.25">
      <c r="C80" s="1" t="s">
        <v>502</v>
      </c>
    </row>
    <row r="81" spans="2:3" hidden="1" outlineLevel="1" x14ac:dyDescent="0.25"/>
    <row r="82" spans="2:3" hidden="1" outlineLevel="1" x14ac:dyDescent="0.25">
      <c r="B82" s="66" t="s">
        <v>503</v>
      </c>
    </row>
    <row r="83" spans="2:3" hidden="1" outlineLevel="1" x14ac:dyDescent="0.25">
      <c r="C83" s="1" t="s">
        <v>504</v>
      </c>
    </row>
    <row r="84" spans="2:3" hidden="1" outlineLevel="1" x14ac:dyDescent="0.25">
      <c r="C84" s="1" t="s">
        <v>505</v>
      </c>
    </row>
    <row r="85" spans="2:3" hidden="1" outlineLevel="1" x14ac:dyDescent="0.25"/>
    <row r="86" spans="2:3" hidden="1" outlineLevel="1" x14ac:dyDescent="0.25">
      <c r="B86" s="90" t="s">
        <v>874</v>
      </c>
    </row>
    <row r="87" spans="2:3" hidden="1" outlineLevel="1" x14ac:dyDescent="0.25">
      <c r="C87" s="1" t="s">
        <v>506</v>
      </c>
    </row>
    <row r="88" spans="2:3" hidden="1" outlineLevel="1" x14ac:dyDescent="0.25"/>
    <row r="89" spans="2:3" hidden="1" outlineLevel="1" x14ac:dyDescent="0.25">
      <c r="B89" s="66" t="s">
        <v>507</v>
      </c>
    </row>
    <row r="90" spans="2:3" hidden="1" outlineLevel="1" x14ac:dyDescent="0.25">
      <c r="C90" s="1" t="s">
        <v>508</v>
      </c>
    </row>
    <row r="91" spans="2:3" hidden="1" outlineLevel="1" x14ac:dyDescent="0.25">
      <c r="B91" s="66" t="s">
        <v>509</v>
      </c>
    </row>
    <row r="92" spans="2:3" hidden="1" outlineLevel="1" x14ac:dyDescent="0.25">
      <c r="C92" s="1" t="s">
        <v>510</v>
      </c>
    </row>
    <row r="93" spans="2:3" hidden="1" outlineLevel="1" x14ac:dyDescent="0.25">
      <c r="C93" s="1" t="s">
        <v>511</v>
      </c>
    </row>
    <row r="94" spans="2:3" hidden="1" outlineLevel="1" x14ac:dyDescent="0.25">
      <c r="C94" s="1" t="s">
        <v>512</v>
      </c>
    </row>
    <row r="95" spans="2:3" hidden="1" outlineLevel="1" x14ac:dyDescent="0.25"/>
    <row r="96" spans="2:3" hidden="1" outlineLevel="1" x14ac:dyDescent="0.25">
      <c r="B96" s="90" t="s">
        <v>513</v>
      </c>
    </row>
    <row r="97" spans="2:15" hidden="1" outlineLevel="1" x14ac:dyDescent="0.25">
      <c r="C97" s="1" t="s">
        <v>514</v>
      </c>
    </row>
    <row r="98" spans="2:15" collapsed="1" x14ac:dyDescent="0.25"/>
    <row r="99" spans="2:15" ht="15" customHeight="1" x14ac:dyDescent="0.25">
      <c r="B99" s="214" t="s">
        <v>812</v>
      </c>
      <c r="C99" s="215"/>
      <c r="D99" s="215"/>
      <c r="E99" s="215"/>
      <c r="F99" s="215"/>
      <c r="G99" s="215"/>
      <c r="H99" s="215"/>
      <c r="I99" s="215"/>
      <c r="J99" s="215"/>
      <c r="K99" s="215"/>
      <c r="L99" s="215"/>
      <c r="M99" s="215"/>
      <c r="N99" s="215"/>
      <c r="O99" s="215"/>
    </row>
    <row r="100" spans="2:15" hidden="1" outlineLevel="1" x14ac:dyDescent="0.25"/>
    <row r="101" spans="2:15" hidden="1" outlineLevel="1" x14ac:dyDescent="0.25">
      <c r="B101" s="66" t="s">
        <v>516</v>
      </c>
    </row>
    <row r="102" spans="2:15" hidden="1" outlineLevel="1" x14ac:dyDescent="0.25">
      <c r="C102" s="1" t="s">
        <v>517</v>
      </c>
    </row>
    <row r="103" spans="2:15" hidden="1" outlineLevel="1" x14ac:dyDescent="0.25">
      <c r="C103" s="1" t="s">
        <v>518</v>
      </c>
    </row>
    <row r="104" spans="2:15" hidden="1" outlineLevel="1" x14ac:dyDescent="0.25"/>
    <row r="105" spans="2:15" hidden="1" outlineLevel="1" x14ac:dyDescent="0.25">
      <c r="B105" s="66" t="s">
        <v>519</v>
      </c>
    </row>
    <row r="106" spans="2:15" hidden="1" outlineLevel="1" x14ac:dyDescent="0.25">
      <c r="C106" s="1" t="s">
        <v>520</v>
      </c>
    </row>
    <row r="107" spans="2:15" hidden="1" outlineLevel="1" x14ac:dyDescent="0.25"/>
    <row r="108" spans="2:15" hidden="1" outlineLevel="1" x14ac:dyDescent="0.25">
      <c r="B108" s="66" t="s">
        <v>521</v>
      </c>
    </row>
    <row r="109" spans="2:15" hidden="1" outlineLevel="1" x14ac:dyDescent="0.25">
      <c r="C109" s="1" t="s">
        <v>522</v>
      </c>
    </row>
    <row r="110" spans="2:15" hidden="1" outlineLevel="1" x14ac:dyDescent="0.25"/>
    <row r="111" spans="2:15" hidden="1" outlineLevel="1" x14ac:dyDescent="0.25">
      <c r="B111" s="90" t="s">
        <v>523</v>
      </c>
    </row>
    <row r="112" spans="2:15" hidden="1" outlineLevel="1" x14ac:dyDescent="0.25">
      <c r="C112" s="1" t="s">
        <v>524</v>
      </c>
    </row>
    <row r="113" spans="2:15" hidden="1" outlineLevel="1" x14ac:dyDescent="0.25">
      <c r="C113" s="1" t="s">
        <v>875</v>
      </c>
    </row>
    <row r="114" spans="2:15" hidden="1" outlineLevel="1" x14ac:dyDescent="0.25">
      <c r="C114" s="1" t="s">
        <v>525</v>
      </c>
    </row>
    <row r="115" spans="2:15" hidden="1" outlineLevel="1" x14ac:dyDescent="0.25">
      <c r="C115" s="16" t="s">
        <v>526</v>
      </c>
    </row>
    <row r="116" spans="2:15" collapsed="1" x14ac:dyDescent="0.25"/>
    <row r="117" spans="2:15" ht="15" customHeight="1" x14ac:dyDescent="0.25">
      <c r="B117" s="214" t="s">
        <v>784</v>
      </c>
      <c r="C117" s="215"/>
      <c r="D117" s="215"/>
      <c r="E117" s="215"/>
      <c r="F117" s="215"/>
      <c r="G117" s="215"/>
      <c r="H117" s="215"/>
      <c r="I117" s="215"/>
      <c r="J117" s="215"/>
      <c r="K117" s="215"/>
      <c r="L117" s="215"/>
      <c r="M117" s="215"/>
      <c r="N117" s="215"/>
      <c r="O117" s="215"/>
    </row>
    <row r="118" spans="2:15" hidden="1" outlineLevel="1" x14ac:dyDescent="0.25"/>
    <row r="119" spans="2:15" hidden="1" outlineLevel="1" x14ac:dyDescent="0.25">
      <c r="B119" s="66" t="s">
        <v>527</v>
      </c>
    </row>
    <row r="120" spans="2:15" hidden="1" outlineLevel="1" x14ac:dyDescent="0.25">
      <c r="C120" s="1" t="s">
        <v>528</v>
      </c>
    </row>
    <row r="121" spans="2:15" hidden="1" outlineLevel="1" x14ac:dyDescent="0.25">
      <c r="C121" s="1" t="s">
        <v>529</v>
      </c>
    </row>
    <row r="122" spans="2:15" hidden="1" outlineLevel="1" x14ac:dyDescent="0.25"/>
    <row r="123" spans="2:15" hidden="1" outlineLevel="1" x14ac:dyDescent="0.25">
      <c r="B123" s="1" t="s">
        <v>530</v>
      </c>
    </row>
    <row r="124" spans="2:15" hidden="1" outlineLevel="1" x14ac:dyDescent="0.25">
      <c r="C124" s="1" t="s">
        <v>531</v>
      </c>
    </row>
    <row r="125" spans="2:15" hidden="1" outlineLevel="1" x14ac:dyDescent="0.25">
      <c r="D125" s="16" t="s">
        <v>532</v>
      </c>
    </row>
    <row r="126" spans="2:15" hidden="1" outlineLevel="1" x14ac:dyDescent="0.25">
      <c r="C126" s="1" t="s">
        <v>533</v>
      </c>
    </row>
    <row r="127" spans="2:15" hidden="1" outlineLevel="1" x14ac:dyDescent="0.25"/>
    <row r="128" spans="2:15" hidden="1" outlineLevel="1" x14ac:dyDescent="0.25">
      <c r="B128" s="66" t="s">
        <v>534</v>
      </c>
    </row>
    <row r="129" spans="2:15" hidden="1" outlineLevel="1" x14ac:dyDescent="0.25">
      <c r="C129" s="1" t="s">
        <v>535</v>
      </c>
    </row>
    <row r="130" spans="2:15" hidden="1" outlineLevel="1" x14ac:dyDescent="0.25">
      <c r="C130" s="1" t="s">
        <v>536</v>
      </c>
    </row>
    <row r="131" spans="2:15" hidden="1" outlineLevel="1" x14ac:dyDescent="0.25">
      <c r="C131" s="1" t="s">
        <v>537</v>
      </c>
    </row>
    <row r="132" spans="2:15" hidden="1" outlineLevel="1" x14ac:dyDescent="0.25">
      <c r="C132" s="1" t="s">
        <v>538</v>
      </c>
    </row>
    <row r="133" spans="2:15" hidden="1" outlineLevel="1" x14ac:dyDescent="0.25">
      <c r="C133" s="1" t="s">
        <v>539</v>
      </c>
    </row>
    <row r="134" spans="2:15" hidden="1" outlineLevel="1" x14ac:dyDescent="0.25"/>
    <row r="135" spans="2:15" hidden="1" outlineLevel="1" x14ac:dyDescent="0.25">
      <c r="B135" s="66" t="s">
        <v>540</v>
      </c>
    </row>
    <row r="136" spans="2:15" hidden="1" outlineLevel="1" x14ac:dyDescent="0.25">
      <c r="C136" s="1" t="s">
        <v>542</v>
      </c>
    </row>
    <row r="137" spans="2:15" hidden="1" outlineLevel="1" x14ac:dyDescent="0.25">
      <c r="C137" s="1" t="s">
        <v>541</v>
      </c>
    </row>
    <row r="138" spans="2:15" hidden="1" outlineLevel="1" x14ac:dyDescent="0.25"/>
    <row r="139" spans="2:15" hidden="1" outlineLevel="1" x14ac:dyDescent="0.25">
      <c r="B139" s="86" t="s">
        <v>543</v>
      </c>
    </row>
    <row r="140" spans="2:15" hidden="1" outlineLevel="1" x14ac:dyDescent="0.25">
      <c r="C140" s="1" t="s">
        <v>544</v>
      </c>
    </row>
    <row r="141" spans="2:15" hidden="1" outlineLevel="1" x14ac:dyDescent="0.25">
      <c r="C141" s="1" t="s">
        <v>545</v>
      </c>
    </row>
    <row r="142" spans="2:15" hidden="1" outlineLevel="1" x14ac:dyDescent="0.25">
      <c r="C142" s="16" t="s">
        <v>546</v>
      </c>
    </row>
    <row r="143" spans="2:15" collapsed="1" x14ac:dyDescent="0.25"/>
    <row r="144" spans="2:15" ht="15" customHeight="1" x14ac:dyDescent="0.25">
      <c r="B144" s="214" t="s">
        <v>785</v>
      </c>
      <c r="C144" s="215"/>
      <c r="D144" s="215"/>
      <c r="E144" s="215"/>
      <c r="F144" s="215"/>
      <c r="G144" s="215"/>
      <c r="H144" s="215"/>
      <c r="I144" s="215"/>
      <c r="J144" s="215"/>
      <c r="K144" s="215"/>
      <c r="L144" s="215"/>
      <c r="M144" s="215"/>
      <c r="N144" s="215"/>
      <c r="O144" s="215"/>
    </row>
    <row r="145" spans="2:4" hidden="1" outlineLevel="1" x14ac:dyDescent="0.25"/>
    <row r="146" spans="2:4" hidden="1" outlineLevel="1" x14ac:dyDescent="0.25">
      <c r="B146" s="1" t="s">
        <v>547</v>
      </c>
    </row>
    <row r="147" spans="2:4" hidden="1" outlineLevel="1" x14ac:dyDescent="0.25"/>
    <row r="148" spans="2:4" hidden="1" outlineLevel="1" x14ac:dyDescent="0.25">
      <c r="B148" s="16" t="s">
        <v>550</v>
      </c>
    </row>
    <row r="149" spans="2:4" hidden="1" outlineLevel="1" x14ac:dyDescent="0.25">
      <c r="C149" s="1" t="s">
        <v>551</v>
      </c>
    </row>
    <row r="150" spans="2:4" hidden="1" outlineLevel="1" x14ac:dyDescent="0.25">
      <c r="C150" s="66" t="s">
        <v>548</v>
      </c>
    </row>
    <row r="151" spans="2:4" hidden="1" outlineLevel="1" x14ac:dyDescent="0.25">
      <c r="D151" s="1" t="s">
        <v>552</v>
      </c>
    </row>
    <row r="152" spans="2:4" hidden="1" outlineLevel="1" x14ac:dyDescent="0.25">
      <c r="D152" s="1" t="s">
        <v>553</v>
      </c>
    </row>
    <row r="153" spans="2:4" hidden="1" outlineLevel="1" x14ac:dyDescent="0.25">
      <c r="D153" s="1" t="s">
        <v>554</v>
      </c>
    </row>
    <row r="154" spans="2:4" hidden="1" outlineLevel="1" x14ac:dyDescent="0.25">
      <c r="D154" s="1" t="s">
        <v>555</v>
      </c>
    </row>
    <row r="155" spans="2:4" hidden="1" outlineLevel="1" x14ac:dyDescent="0.25">
      <c r="C155" s="66" t="s">
        <v>549</v>
      </c>
    </row>
    <row r="156" spans="2:4" hidden="1" outlineLevel="1" x14ac:dyDescent="0.25">
      <c r="D156" s="1" t="s">
        <v>556</v>
      </c>
    </row>
    <row r="157" spans="2:4" hidden="1" outlineLevel="1" x14ac:dyDescent="0.25">
      <c r="D157" s="1" t="s">
        <v>557</v>
      </c>
    </row>
    <row r="158" spans="2:4" hidden="1" outlineLevel="1" x14ac:dyDescent="0.25">
      <c r="D158" s="1" t="s">
        <v>558</v>
      </c>
    </row>
    <row r="159" spans="2:4" hidden="1" outlineLevel="1" x14ac:dyDescent="0.25">
      <c r="D159" s="1" t="s">
        <v>559</v>
      </c>
    </row>
    <row r="160" spans="2:4" hidden="1" outlineLevel="1" x14ac:dyDescent="0.25">
      <c r="D160" s="1" t="s">
        <v>560</v>
      </c>
    </row>
    <row r="161" spans="2:4" hidden="1" outlineLevel="1" x14ac:dyDescent="0.25">
      <c r="D161" s="16" t="s">
        <v>561</v>
      </c>
    </row>
    <row r="162" spans="2:4" hidden="1" outlineLevel="1" x14ac:dyDescent="0.25"/>
    <row r="163" spans="2:4" hidden="1" outlineLevel="1" x14ac:dyDescent="0.25">
      <c r="B163" s="16" t="s">
        <v>562</v>
      </c>
    </row>
    <row r="164" spans="2:4" hidden="1" outlineLevel="1" x14ac:dyDescent="0.25">
      <c r="C164" s="66" t="s">
        <v>563</v>
      </c>
    </row>
    <row r="165" spans="2:4" hidden="1" outlineLevel="1" x14ac:dyDescent="0.25">
      <c r="D165" s="1" t="s">
        <v>564</v>
      </c>
    </row>
    <row r="166" spans="2:4" hidden="1" outlineLevel="1" x14ac:dyDescent="0.25">
      <c r="D166" s="1" t="s">
        <v>565</v>
      </c>
    </row>
    <row r="167" spans="2:4" hidden="1" outlineLevel="1" x14ac:dyDescent="0.25">
      <c r="D167" s="1" t="s">
        <v>566</v>
      </c>
    </row>
    <row r="168" spans="2:4" hidden="1" outlineLevel="1" x14ac:dyDescent="0.25">
      <c r="D168" s="1" t="s">
        <v>567</v>
      </c>
    </row>
    <row r="169" spans="2:4" hidden="1" outlineLevel="1" x14ac:dyDescent="0.25"/>
    <row r="170" spans="2:4" hidden="1" outlineLevel="1" x14ac:dyDescent="0.25">
      <c r="B170" s="16" t="s">
        <v>568</v>
      </c>
    </row>
    <row r="171" spans="2:4" hidden="1" outlineLevel="1" x14ac:dyDescent="0.25">
      <c r="C171" s="1" t="s">
        <v>569</v>
      </c>
    </row>
    <row r="172" spans="2:4" hidden="1" outlineLevel="1" x14ac:dyDescent="0.25"/>
    <row r="173" spans="2:4" hidden="1" outlineLevel="1" x14ac:dyDescent="0.25">
      <c r="B173" s="16" t="s">
        <v>570</v>
      </c>
    </row>
    <row r="174" spans="2:4" hidden="1" outlineLevel="1" x14ac:dyDescent="0.25">
      <c r="C174" s="1" t="s">
        <v>573</v>
      </c>
    </row>
    <row r="175" spans="2:4" hidden="1" outlineLevel="1" x14ac:dyDescent="0.25">
      <c r="C175" s="1" t="s">
        <v>574</v>
      </c>
    </row>
    <row r="176" spans="2:4" hidden="1" outlineLevel="1" x14ac:dyDescent="0.25">
      <c r="C176" s="1" t="s">
        <v>575</v>
      </c>
    </row>
    <row r="177" spans="2:15" hidden="1" outlineLevel="1" x14ac:dyDescent="0.25"/>
    <row r="178" spans="2:15" hidden="1" outlineLevel="1" x14ac:dyDescent="0.25">
      <c r="B178" s="16" t="s">
        <v>572</v>
      </c>
    </row>
    <row r="179" spans="2:15" hidden="1" outlineLevel="1" x14ac:dyDescent="0.25">
      <c r="C179" s="1" t="s">
        <v>571</v>
      </c>
    </row>
    <row r="180" spans="2:15" hidden="1" outlineLevel="1" x14ac:dyDescent="0.25">
      <c r="C180" s="16" t="s">
        <v>576</v>
      </c>
    </row>
    <row r="181" spans="2:15" hidden="1" outlineLevel="1" x14ac:dyDescent="0.25">
      <c r="C181" s="1" t="s">
        <v>577</v>
      </c>
    </row>
    <row r="182" spans="2:15" collapsed="1" x14ac:dyDescent="0.25"/>
    <row r="183" spans="2:15" ht="15" customHeight="1" x14ac:dyDescent="0.25">
      <c r="B183" s="214" t="s">
        <v>786</v>
      </c>
      <c r="C183" s="215"/>
      <c r="D183" s="215"/>
      <c r="E183" s="215"/>
      <c r="F183" s="215"/>
      <c r="G183" s="215"/>
      <c r="H183" s="215"/>
      <c r="I183" s="215"/>
      <c r="J183" s="215"/>
      <c r="K183" s="215"/>
      <c r="L183" s="215"/>
      <c r="M183" s="215"/>
      <c r="N183" s="215"/>
      <c r="O183" s="215"/>
    </row>
    <row r="184" spans="2:15" hidden="1" outlineLevel="1" x14ac:dyDescent="0.25"/>
    <row r="185" spans="2:15" hidden="1" outlineLevel="1" x14ac:dyDescent="0.25">
      <c r="B185" s="16" t="s">
        <v>530</v>
      </c>
    </row>
    <row r="186" spans="2:15" hidden="1" outlineLevel="1" x14ac:dyDescent="0.25">
      <c r="C186" s="1" t="s">
        <v>578</v>
      </c>
    </row>
    <row r="187" spans="2:15" hidden="1" outlineLevel="1" x14ac:dyDescent="0.25">
      <c r="D187" s="1" t="s">
        <v>579</v>
      </c>
      <c r="E187" s="65">
        <v>0.217</v>
      </c>
      <c r="G187" s="60" t="s">
        <v>585</v>
      </c>
    </row>
    <row r="188" spans="2:15" hidden="1" outlineLevel="1" x14ac:dyDescent="0.25">
      <c r="D188" s="1" t="s">
        <v>582</v>
      </c>
      <c r="E188" s="65">
        <v>7.4999999999999997E-2</v>
      </c>
      <c r="F188" s="1" t="s">
        <v>583</v>
      </c>
    </row>
    <row r="189" spans="2:15" hidden="1" outlineLevel="1" x14ac:dyDescent="0.25">
      <c r="D189" s="1" t="s">
        <v>580</v>
      </c>
      <c r="E189" s="65">
        <v>0.08</v>
      </c>
      <c r="F189" s="1" t="s">
        <v>583</v>
      </c>
    </row>
    <row r="190" spans="2:15" hidden="1" outlineLevel="1" x14ac:dyDescent="0.25">
      <c r="D190" s="1" t="s">
        <v>581</v>
      </c>
      <c r="E190" s="65">
        <v>3.6999999999999998E-2</v>
      </c>
    </row>
    <row r="191" spans="2:15" hidden="1" outlineLevel="1" x14ac:dyDescent="0.25">
      <c r="C191" s="60" t="s">
        <v>584</v>
      </c>
    </row>
    <row r="192" spans="2:15" hidden="1" outlineLevel="1" x14ac:dyDescent="0.25">
      <c r="C192" s="1" t="s">
        <v>586</v>
      </c>
    </row>
    <row r="193" spans="2:15" hidden="1" outlineLevel="1" x14ac:dyDescent="0.25">
      <c r="C193" s="16" t="s">
        <v>601</v>
      </c>
    </row>
    <row r="194" spans="2:15" collapsed="1" x14ac:dyDescent="0.25"/>
    <row r="195" spans="2:15" ht="15" customHeight="1" x14ac:dyDescent="0.25">
      <c r="B195" s="214" t="s">
        <v>787</v>
      </c>
      <c r="C195" s="215"/>
      <c r="D195" s="215"/>
      <c r="E195" s="215"/>
      <c r="F195" s="215"/>
      <c r="G195" s="215"/>
      <c r="H195" s="215"/>
      <c r="I195" s="215"/>
      <c r="J195" s="215"/>
      <c r="K195" s="215"/>
      <c r="L195" s="215"/>
      <c r="M195" s="215"/>
      <c r="N195" s="215"/>
      <c r="O195" s="215"/>
    </row>
    <row r="196" spans="2:15" hidden="1" outlineLevel="1" x14ac:dyDescent="0.25"/>
    <row r="197" spans="2:15" hidden="1" outlineLevel="1" x14ac:dyDescent="0.25">
      <c r="B197" s="16" t="s">
        <v>587</v>
      </c>
    </row>
    <row r="198" spans="2:15" hidden="1" outlineLevel="1" x14ac:dyDescent="0.25">
      <c r="C198" s="60" t="s">
        <v>588</v>
      </c>
    </row>
    <row r="199" spans="2:15" hidden="1" outlineLevel="1" x14ac:dyDescent="0.25">
      <c r="C199" s="1" t="s">
        <v>589</v>
      </c>
    </row>
    <row r="200" spans="2:15" hidden="1" outlineLevel="1" x14ac:dyDescent="0.25">
      <c r="D200" s="1" t="s">
        <v>590</v>
      </c>
    </row>
    <row r="201" spans="2:15" hidden="1" outlineLevel="1" x14ac:dyDescent="0.25">
      <c r="D201" s="1" t="s">
        <v>591</v>
      </c>
    </row>
    <row r="202" spans="2:15" hidden="1" outlineLevel="1" x14ac:dyDescent="0.25">
      <c r="D202" s="1" t="s">
        <v>592</v>
      </c>
    </row>
    <row r="203" spans="2:15" hidden="1" outlineLevel="1" x14ac:dyDescent="0.25">
      <c r="C203" s="1" t="s">
        <v>593</v>
      </c>
    </row>
    <row r="204" spans="2:15" hidden="1" outlineLevel="1" x14ac:dyDescent="0.25">
      <c r="D204" s="1" t="s">
        <v>594</v>
      </c>
    </row>
    <row r="205" spans="2:15" hidden="1" outlineLevel="1" x14ac:dyDescent="0.25">
      <c r="D205" s="1" t="s">
        <v>595</v>
      </c>
    </row>
    <row r="206" spans="2:15" hidden="1" outlineLevel="1" x14ac:dyDescent="0.25">
      <c r="C206" s="66" t="s">
        <v>596</v>
      </c>
    </row>
    <row r="207" spans="2:15" hidden="1" outlineLevel="1" x14ac:dyDescent="0.25">
      <c r="D207" s="1" t="s">
        <v>597</v>
      </c>
    </row>
    <row r="208" spans="2:15" hidden="1" outlineLevel="1" x14ac:dyDescent="0.25">
      <c r="D208" s="1" t="s">
        <v>598</v>
      </c>
    </row>
    <row r="209" spans="2:15" hidden="1" outlineLevel="1" x14ac:dyDescent="0.25">
      <c r="D209" s="1" t="s">
        <v>599</v>
      </c>
    </row>
    <row r="210" spans="2:15" hidden="1" outlineLevel="1" x14ac:dyDescent="0.25">
      <c r="D210" s="1" t="s">
        <v>600</v>
      </c>
    </row>
    <row r="211" spans="2:15" collapsed="1" x14ac:dyDescent="0.25"/>
    <row r="212" spans="2:15" ht="15" customHeight="1" x14ac:dyDescent="0.25">
      <c r="B212" s="214" t="s">
        <v>788</v>
      </c>
      <c r="C212" s="215"/>
      <c r="D212" s="215"/>
      <c r="E212" s="215"/>
      <c r="F212" s="215"/>
      <c r="G212" s="215"/>
      <c r="H212" s="215"/>
      <c r="I212" s="215"/>
      <c r="J212" s="215"/>
      <c r="K212" s="215"/>
      <c r="L212" s="215"/>
      <c r="M212" s="215"/>
      <c r="N212" s="215"/>
      <c r="O212" s="215"/>
    </row>
    <row r="213" spans="2:15" hidden="1" outlineLevel="1" x14ac:dyDescent="0.25"/>
    <row r="214" spans="2:15" hidden="1" outlineLevel="1" x14ac:dyDescent="0.25">
      <c r="B214" s="66" t="s">
        <v>612</v>
      </c>
    </row>
    <row r="215" spans="2:15" hidden="1" outlineLevel="1" x14ac:dyDescent="0.25">
      <c r="C215" s="1" t="s">
        <v>613</v>
      </c>
    </row>
    <row r="216" spans="2:15" hidden="1" outlineLevel="1" x14ac:dyDescent="0.25">
      <c r="C216" s="1" t="s">
        <v>615</v>
      </c>
    </row>
    <row r="217" spans="2:15" hidden="1" outlineLevel="1" x14ac:dyDescent="0.25">
      <c r="C217" s="1" t="s">
        <v>614</v>
      </c>
    </row>
    <row r="218" spans="2:15" hidden="1" outlineLevel="1" x14ac:dyDescent="0.25">
      <c r="C218" s="1" t="s">
        <v>616</v>
      </c>
    </row>
    <row r="219" spans="2:15" hidden="1" outlineLevel="1" x14ac:dyDescent="0.25">
      <c r="C219" s="1" t="s">
        <v>617</v>
      </c>
    </row>
    <row r="220" spans="2:15" hidden="1" outlineLevel="1" x14ac:dyDescent="0.25">
      <c r="C220" s="1" t="s">
        <v>618</v>
      </c>
    </row>
    <row r="221" spans="2:15" hidden="1" outlineLevel="1" x14ac:dyDescent="0.25">
      <c r="C221" s="66" t="s">
        <v>620</v>
      </c>
    </row>
    <row r="222" spans="2:15" hidden="1" outlineLevel="1" x14ac:dyDescent="0.25"/>
    <row r="223" spans="2:15" hidden="1" outlineLevel="1" x14ac:dyDescent="0.25">
      <c r="B223" s="16" t="s">
        <v>847</v>
      </c>
    </row>
    <row r="224" spans="2:15" hidden="1" outlineLevel="1" x14ac:dyDescent="0.25">
      <c r="C224" s="66" t="s">
        <v>828</v>
      </c>
    </row>
    <row r="225" spans="3:4" hidden="1" outlineLevel="1" x14ac:dyDescent="0.25">
      <c r="D225" s="16" t="s">
        <v>829</v>
      </c>
    </row>
    <row r="226" spans="3:4" hidden="1" outlineLevel="1" x14ac:dyDescent="0.25">
      <c r="C226" s="66" t="s">
        <v>830</v>
      </c>
    </row>
    <row r="227" spans="3:4" hidden="1" outlineLevel="1" x14ac:dyDescent="0.25">
      <c r="C227" s="149"/>
      <c r="D227" s="149" t="s">
        <v>831</v>
      </c>
    </row>
    <row r="228" spans="3:4" hidden="1" outlineLevel="1" x14ac:dyDescent="0.25">
      <c r="D228" s="149" t="s">
        <v>832</v>
      </c>
    </row>
    <row r="229" spans="3:4" hidden="1" outlineLevel="1" x14ac:dyDescent="0.25">
      <c r="C229" s="66" t="s">
        <v>833</v>
      </c>
    </row>
    <row r="230" spans="3:4" hidden="1" outlineLevel="1" x14ac:dyDescent="0.25">
      <c r="C230"/>
      <c r="D230" s="149" t="s">
        <v>834</v>
      </c>
    </row>
    <row r="231" spans="3:4" hidden="1" outlineLevel="1" x14ac:dyDescent="0.25">
      <c r="C231" s="66" t="s">
        <v>835</v>
      </c>
    </row>
    <row r="232" spans="3:4" hidden="1" outlineLevel="1" x14ac:dyDescent="0.25">
      <c r="C232" s="149"/>
      <c r="D232" s="149" t="s">
        <v>836</v>
      </c>
    </row>
    <row r="233" spans="3:4" hidden="1" outlineLevel="1" x14ac:dyDescent="0.25">
      <c r="D233" s="149" t="s">
        <v>837</v>
      </c>
    </row>
    <row r="234" spans="3:4" hidden="1" outlineLevel="1" x14ac:dyDescent="0.25">
      <c r="C234" s="66" t="s">
        <v>838</v>
      </c>
    </row>
    <row r="235" spans="3:4" hidden="1" outlineLevel="1" x14ac:dyDescent="0.25">
      <c r="C235"/>
      <c r="D235" s="151" t="s">
        <v>839</v>
      </c>
    </row>
    <row r="236" spans="3:4" hidden="1" outlineLevel="1" x14ac:dyDescent="0.25">
      <c r="C236" s="150" t="s">
        <v>840</v>
      </c>
    </row>
    <row r="237" spans="3:4" hidden="1" outlineLevel="1" x14ac:dyDescent="0.25">
      <c r="C237" t="s">
        <v>841</v>
      </c>
    </row>
    <row r="238" spans="3:4" hidden="1" outlineLevel="1" x14ac:dyDescent="0.25">
      <c r="C238" t="s">
        <v>842</v>
      </c>
    </row>
    <row r="239" spans="3:4" hidden="1" outlineLevel="1" x14ac:dyDescent="0.25">
      <c r="C239" s="66" t="s">
        <v>843</v>
      </c>
    </row>
    <row r="240" spans="3:4" hidden="1" outlineLevel="1" x14ac:dyDescent="0.25">
      <c r="C240" s="149"/>
      <c r="D240" s="149" t="s">
        <v>844</v>
      </c>
    </row>
    <row r="241" spans="2:4" hidden="1" outlineLevel="1" x14ac:dyDescent="0.25">
      <c r="D241" s="149" t="s">
        <v>845</v>
      </c>
    </row>
    <row r="242" spans="2:4" hidden="1" outlineLevel="1" x14ac:dyDescent="0.25">
      <c r="D242" s="149"/>
    </row>
    <row r="243" spans="2:4" hidden="1" outlineLevel="1" x14ac:dyDescent="0.25">
      <c r="B243" s="16" t="s">
        <v>846</v>
      </c>
      <c r="D243" s="149"/>
    </row>
    <row r="244" spans="2:4" hidden="1" outlineLevel="1" x14ac:dyDescent="0.25">
      <c r="C244" s="66" t="s">
        <v>848</v>
      </c>
      <c r="D244" s="149"/>
    </row>
    <row r="245" spans="2:4" hidden="1" outlineLevel="1" x14ac:dyDescent="0.25">
      <c r="C245" s="149"/>
      <c r="D245" s="149" t="s">
        <v>849</v>
      </c>
    </row>
    <row r="246" spans="2:4" hidden="1" outlineLevel="1" x14ac:dyDescent="0.25">
      <c r="C246" s="66" t="s">
        <v>850</v>
      </c>
      <c r="D246" s="149"/>
    </row>
    <row r="247" spans="2:4" hidden="1" outlineLevel="1" x14ac:dyDescent="0.25">
      <c r="C247"/>
      <c r="D247" s="151" t="s">
        <v>851</v>
      </c>
    </row>
    <row r="248" spans="2:4" hidden="1" outlineLevel="1" x14ac:dyDescent="0.25">
      <c r="C248" s="66" t="s">
        <v>830</v>
      </c>
      <c r="D248" s="149"/>
    </row>
    <row r="249" spans="2:4" hidden="1" outlineLevel="1" x14ac:dyDescent="0.25">
      <c r="C249" s="149"/>
      <c r="D249" s="149" t="s">
        <v>852</v>
      </c>
    </row>
    <row r="250" spans="2:4" hidden="1" outlineLevel="1" x14ac:dyDescent="0.25">
      <c r="C250" s="16" t="s">
        <v>853</v>
      </c>
      <c r="D250" s="149"/>
    </row>
    <row r="251" spans="2:4" hidden="1" outlineLevel="1" x14ac:dyDescent="0.25">
      <c r="C251" s="66" t="s">
        <v>854</v>
      </c>
      <c r="D251" s="149"/>
    </row>
    <row r="252" spans="2:4" hidden="1" outlineLevel="1" x14ac:dyDescent="0.25">
      <c r="C252" s="149"/>
      <c r="D252" s="149" t="s">
        <v>855</v>
      </c>
    </row>
    <row r="253" spans="2:4" hidden="1" outlineLevel="1" x14ac:dyDescent="0.25">
      <c r="C253" s="66" t="s">
        <v>856</v>
      </c>
      <c r="D253" s="149"/>
    </row>
    <row r="254" spans="2:4" hidden="1" outlineLevel="1" x14ac:dyDescent="0.25">
      <c r="C254"/>
      <c r="D254" s="149" t="s">
        <v>857</v>
      </c>
    </row>
    <row r="255" spans="2:4" hidden="1" outlineLevel="1" x14ac:dyDescent="0.25">
      <c r="C255" s="150" t="s">
        <v>858</v>
      </c>
      <c r="D255" s="149"/>
    </row>
    <row r="256" spans="2:4" hidden="1" outlineLevel="1" x14ac:dyDescent="0.25">
      <c r="C256" s="66" t="s">
        <v>859</v>
      </c>
      <c r="D256" s="149"/>
    </row>
    <row r="257" spans="2:15" hidden="1" outlineLevel="1" x14ac:dyDescent="0.25">
      <c r="C257" s="149"/>
      <c r="D257" s="149" t="s">
        <v>860</v>
      </c>
    </row>
    <row r="258" spans="2:15" hidden="1" outlineLevel="1" x14ac:dyDescent="0.25">
      <c r="C258" s="151" t="s">
        <v>861</v>
      </c>
    </row>
    <row r="259" spans="2:15" collapsed="1" x14ac:dyDescent="0.25"/>
    <row r="260" spans="2:15" ht="15" customHeight="1" x14ac:dyDescent="0.25">
      <c r="B260" s="214" t="s">
        <v>622</v>
      </c>
      <c r="C260" s="215"/>
      <c r="D260" s="215"/>
      <c r="E260" s="215"/>
      <c r="F260" s="215"/>
      <c r="G260" s="215"/>
      <c r="H260" s="215"/>
      <c r="I260" s="215"/>
      <c r="J260" s="215"/>
      <c r="K260" s="215"/>
      <c r="L260" s="215"/>
      <c r="M260" s="215"/>
      <c r="N260" s="215"/>
      <c r="O260" s="215"/>
    </row>
    <row r="261" spans="2:15" hidden="1" outlineLevel="1" x14ac:dyDescent="0.25"/>
    <row r="262" spans="2:15" hidden="1" outlineLevel="1" x14ac:dyDescent="0.25">
      <c r="B262" s="1" t="s">
        <v>742</v>
      </c>
    </row>
    <row r="263" spans="2:15" hidden="1" outlineLevel="1" x14ac:dyDescent="0.25">
      <c r="C263" s="66" t="s">
        <v>738</v>
      </c>
    </row>
    <row r="264" spans="2:15" hidden="1" outlineLevel="1" x14ac:dyDescent="0.25">
      <c r="C264" s="66" t="s">
        <v>739</v>
      </c>
    </row>
    <row r="265" spans="2:15" hidden="1" outlineLevel="1" x14ac:dyDescent="0.25">
      <c r="C265" s="66" t="s">
        <v>740</v>
      </c>
    </row>
    <row r="266" spans="2:15" hidden="1" outlineLevel="1" x14ac:dyDescent="0.25">
      <c r="C266" s="1" t="s">
        <v>744</v>
      </c>
    </row>
    <row r="267" spans="2:15" hidden="1" outlineLevel="1" x14ac:dyDescent="0.25">
      <c r="B267" s="60"/>
      <c r="C267" s="1" t="s">
        <v>741</v>
      </c>
    </row>
    <row r="268" spans="2:15" hidden="1" outlineLevel="1" x14ac:dyDescent="0.25"/>
    <row r="269" spans="2:15" hidden="1" outlineLevel="1" x14ac:dyDescent="0.25">
      <c r="B269" s="1" t="s">
        <v>743</v>
      </c>
    </row>
    <row r="270" spans="2:15" hidden="1" outlineLevel="1" x14ac:dyDescent="0.25">
      <c r="C270" s="66" t="s">
        <v>745</v>
      </c>
    </row>
    <row r="271" spans="2:15" hidden="1" outlineLevel="1" x14ac:dyDescent="0.25">
      <c r="C271" s="66" t="s">
        <v>746</v>
      </c>
    </row>
    <row r="272" spans="2:15" hidden="1" outlineLevel="1" x14ac:dyDescent="0.25">
      <c r="C272" s="1" t="s">
        <v>747</v>
      </c>
    </row>
    <row r="273" spans="2:3" hidden="1" outlineLevel="1" x14ac:dyDescent="0.25">
      <c r="C273" s="1" t="s">
        <v>748</v>
      </c>
    </row>
    <row r="274" spans="2:3" hidden="1" outlineLevel="1" x14ac:dyDescent="0.25">
      <c r="C274" s="1" t="s">
        <v>749</v>
      </c>
    </row>
    <row r="275" spans="2:3" hidden="1" outlineLevel="1" x14ac:dyDescent="0.25"/>
    <row r="276" spans="2:3" hidden="1" outlineLevel="1" x14ac:dyDescent="0.25">
      <c r="B276" s="16" t="s">
        <v>811</v>
      </c>
    </row>
    <row r="277" spans="2:3" hidden="1" outlineLevel="1" x14ac:dyDescent="0.25">
      <c r="C277" s="1" t="s">
        <v>753</v>
      </c>
    </row>
    <row r="278" spans="2:3" hidden="1" outlineLevel="1" x14ac:dyDescent="0.25">
      <c r="C278" s="1" t="s">
        <v>750</v>
      </c>
    </row>
    <row r="279" spans="2:3" hidden="1" outlineLevel="1" x14ac:dyDescent="0.25">
      <c r="C279" s="1" t="s">
        <v>751</v>
      </c>
    </row>
    <row r="280" spans="2:3" hidden="1" outlineLevel="1" x14ac:dyDescent="0.25">
      <c r="C280" s="1" t="s">
        <v>752</v>
      </c>
    </row>
    <row r="281" spans="2:3" hidden="1" outlineLevel="1" x14ac:dyDescent="0.25"/>
    <row r="282" spans="2:3" hidden="1" outlineLevel="1" x14ac:dyDescent="0.25">
      <c r="B282" s="16" t="s">
        <v>754</v>
      </c>
    </row>
    <row r="283" spans="2:3" hidden="1" outlineLevel="1" x14ac:dyDescent="0.25">
      <c r="C283" s="41" t="s">
        <v>755</v>
      </c>
    </row>
    <row r="284" spans="2:3" hidden="1" outlineLevel="1" x14ac:dyDescent="0.25">
      <c r="C284" s="1" t="s">
        <v>756</v>
      </c>
    </row>
    <row r="285" spans="2:3" hidden="1" outlineLevel="1" x14ac:dyDescent="0.25">
      <c r="C285" s="1" t="s">
        <v>757</v>
      </c>
    </row>
    <row r="286" spans="2:3" hidden="1" outlineLevel="1" x14ac:dyDescent="0.25">
      <c r="C286" s="1" t="s">
        <v>758</v>
      </c>
    </row>
    <row r="287" spans="2:3" hidden="1" outlineLevel="1" x14ac:dyDescent="0.25">
      <c r="C287" s="1" t="s">
        <v>759</v>
      </c>
    </row>
    <row r="288" spans="2:3" hidden="1" outlineLevel="1" x14ac:dyDescent="0.25">
      <c r="C288" s="16" t="s">
        <v>760</v>
      </c>
    </row>
    <row r="289" collapsed="1" x14ac:dyDescent="0.25"/>
  </sheetData>
  <mergeCells count="35">
    <mergeCell ref="B260:O260"/>
    <mergeCell ref="I16:O16"/>
    <mergeCell ref="I17:O17"/>
    <mergeCell ref="I18:O18"/>
    <mergeCell ref="B195:O195"/>
    <mergeCell ref="B212:O212"/>
    <mergeCell ref="B99:O99"/>
    <mergeCell ref="B117:O117"/>
    <mergeCell ref="B144:O144"/>
    <mergeCell ref="B183:O183"/>
    <mergeCell ref="B6:E6"/>
    <mergeCell ref="B7:E7"/>
    <mergeCell ref="B8:E8"/>
    <mergeCell ref="B9:E9"/>
    <mergeCell ref="B10:E10"/>
    <mergeCell ref="B11:E11"/>
    <mergeCell ref="B12:E12"/>
    <mergeCell ref="B13:E13"/>
    <mergeCell ref="B14:E14"/>
    <mergeCell ref="I11:O11"/>
    <mergeCell ref="I12:O12"/>
    <mergeCell ref="I13:O13"/>
    <mergeCell ref="I14:O14"/>
    <mergeCell ref="I6:O6"/>
    <mergeCell ref="I7:O7"/>
    <mergeCell ref="I8:O8"/>
    <mergeCell ref="I9:O9"/>
    <mergeCell ref="I10:O10"/>
    <mergeCell ref="I15:O15"/>
    <mergeCell ref="B20:O20"/>
    <mergeCell ref="B68:O68"/>
    <mergeCell ref="B15:E15"/>
    <mergeCell ref="B16:E16"/>
    <mergeCell ref="B17:E17"/>
    <mergeCell ref="B18:E18"/>
  </mergeCells>
  <conditionalFormatting sqref="O1">
    <cfRule type="cellIs" dxfId="2" priority="1" operator="equal">
      <formula>"Aggressive"</formula>
    </cfRule>
    <cfRule type="cellIs" dxfId="1" priority="2" operator="equal">
      <formula>"Moderate"</formula>
    </cfRule>
    <cfRule type="cellIs" dxfId="0" priority="3" operator="equal">
      <formula>"Conservative"</formula>
    </cfRule>
  </conditionalFormatting>
  <hyperlinks>
    <hyperlink ref="B22" r:id="rId1" display="OpenPR" xr:uid="{3BEAE7BB-C8D8-465D-A107-E5A379555FC2}"/>
    <hyperlink ref="B27" r:id="rId2" xr:uid="{6C166DF4-20D2-4848-AAAE-1E76DA745D9C}"/>
    <hyperlink ref="B36" r:id="rId3" xr:uid="{892E96EA-568A-49CF-B0AC-D0011A1522A5}"/>
    <hyperlink ref="B44" r:id="rId4" xr:uid="{F870063F-E9F3-407E-8D83-B1DC02E12DB0}"/>
    <hyperlink ref="B55" r:id="rId5" xr:uid="{BE67B977-0FBF-4F10-A6D3-20C7FE5287F6}"/>
    <hyperlink ref="B39" r:id="rId6" xr:uid="{A308AA36-A0B5-438D-8A25-83BAC1DBE876}"/>
    <hyperlink ref="B70" r:id="rId7" xr:uid="{6C656C43-A991-44FC-BDA0-D67D68FC7140}"/>
    <hyperlink ref="B76" r:id="rId8" xr:uid="{CDF8B50D-F931-4EC0-B71A-E762DD0746A5}"/>
    <hyperlink ref="B82" r:id="rId9" xr:uid="{BD6CCCA2-0ED7-4D2E-A44A-22C481A02B17}"/>
    <hyperlink ref="B89" r:id="rId10" xr:uid="{39415D18-C74C-4F2B-9F4E-2B219D2ABC66}"/>
    <hyperlink ref="B91" r:id="rId11" xr:uid="{916A246A-EF43-451F-BF6A-1F7680F06BDD}"/>
    <hyperlink ref="B101" r:id="rId12" xr:uid="{1D1065ED-B125-44E9-8A04-A6BC2E3540CE}"/>
    <hyperlink ref="B105" r:id="rId13" xr:uid="{419F253A-7D04-46FB-9C8A-20751E165136}"/>
    <hyperlink ref="B108" r:id="rId14" xr:uid="{0AC889A3-EB91-4D57-BDD9-A83AA763EEC9}"/>
    <hyperlink ref="B119" r:id="rId15" xr:uid="{A0A57EE6-1C8B-459E-9322-067CDD1CC35B}"/>
    <hyperlink ref="B128" r:id="rId16" xr:uid="{1204C887-1F66-4E42-A628-C70F77BC1A70}"/>
    <hyperlink ref="B135" r:id="rId17" display="The Aerospace Corporateion" xr:uid="{33CF86C2-7981-4551-A139-6C1A1F1F58F5}"/>
    <hyperlink ref="C150" r:id="rId18" xr:uid="{E0F96318-4F2E-4750-A205-5CC7C93A3EA7}"/>
    <hyperlink ref="C155" r:id="rId19" xr:uid="{70271F88-8DBB-4B0E-BFA2-9BE93B395A2F}"/>
    <hyperlink ref="C164" r:id="rId20" xr:uid="{3DA48D29-72BA-4EC8-8B89-6BB54AAD3D59}"/>
    <hyperlink ref="C206" r:id="rId21" location="configurator" xr:uid="{EBC991CB-1E4B-447C-AD6B-26EF2AB87578}"/>
    <hyperlink ref="B214" r:id="rId22" xr:uid="{0B39206C-626B-461F-A569-501EBE2AFF3D}"/>
    <hyperlink ref="C221" r:id="rId23" location=":~:text=Discounted%20Access,the%20vehicle%20promises%20to%20offer." xr:uid="{9153F4FD-5D99-432F-8DB3-91CF462897AA}"/>
    <hyperlink ref="C263" r:id="rId24" xr:uid="{9B586DBD-96C0-4DB7-B7E9-CDE8A2B06CED}"/>
    <hyperlink ref="C264" r:id="rId25" xr:uid="{18A22F74-3A5F-4EC1-BF3A-EA583C016437}"/>
    <hyperlink ref="C265" r:id="rId26" xr:uid="{26A4BAF2-4270-4EF1-B0FA-9DB7B080C4F8}"/>
    <hyperlink ref="C270" r:id="rId27" xr:uid="{4E65C853-EE04-4C38-8B34-CFDF21B11C80}"/>
    <hyperlink ref="C271" r:id="rId28" xr:uid="{C4859F19-71BF-499A-BAC6-AEBF2090EB45}"/>
    <hyperlink ref="C283" r:id="rId29" display="https://www.armadainternational.com/2020/03/space-on-budget/" xr:uid="{057C3624-698C-4E72-8DFA-ECBAC8709CDB}"/>
    <hyperlink ref="C224" r:id="rId30" xr:uid="{0DE8EA26-AF69-4733-BCFE-A0DD317BFC4E}"/>
    <hyperlink ref="C226" r:id="rId31" display="https://www.nasaspaceflight.com/2025/05/future-starship-block-3-mars/" xr:uid="{E8BAF7A2-F9B5-4469-812A-3C7128AF67F8}"/>
    <hyperlink ref="C229" r:id="rId32" display="https://en.wikipedia.org/wiki/SpaceX_Starship" xr:uid="{F8DAAB38-B063-4E1B-B541-659C4FC5635A}"/>
    <hyperlink ref="C231" r:id="rId33" display="https://spacenews.com/starlab-space-fully-books-commercial-payload-space-on-planned-space-station/" xr:uid="{2E589791-952A-4EC0-ABFD-B19CFBF350E9}"/>
    <hyperlink ref="C234" r:id="rId34" display="https://www.basenor.com/blogs/news/spacex-scores-90m-starship-contract-to-launch-starlab-space-station" xr:uid="{13FE9497-49B9-4152-8CC2-B05CBA2BCE5E}"/>
    <hyperlink ref="C239" r:id="rId35" display="https://en.wikipedia.org/wiki/List_of_Starship_launches" xr:uid="{5ADC67BA-9D0B-4B1D-8EE2-00A8D16F3614}"/>
    <hyperlink ref="C244" r:id="rId36" display="https://starship-spacex.fandom.com/wiki/Ship_(Starship%27s_Second_Stage)" xr:uid="{805691F2-12F7-44A5-8C4F-8BAD5C267BB0}"/>
    <hyperlink ref="C246" r:id="rId37" display="https://newspaceeconomy.ca/2025/12/12/the-heavy-lifters-a-comparative-analysis-of-launch-vehicle-payload-capacities/" xr:uid="{48761CDF-4B9B-4D03-B5A2-E6784516343D}"/>
    <hyperlink ref="C248" r:id="rId38" display="https://www.nasaspaceflight.com/2025/05/future-starship-block-3-mars/" xr:uid="{75142BDA-C23E-4B7B-B97E-BF1AE11492EB}"/>
    <hyperlink ref="C251" r:id="rId39" display="https://www.nextbigfuture.com/2025/01/spacex-starship-roadmap-to-100-times-lower-cost-launch.html" xr:uid="{CEE0576E-425C-4935-AC1D-F8D192F8D14F}"/>
    <hyperlink ref="C253" r:id="rId40" display="https://www.nextbigfuture.com/2025/08/spacex-launch-will-be-five-times-lower-cost-for-end-of-2025.html" xr:uid="{BB91FE1E-E6CD-4268-B4C0-28B6E7A15346}"/>
    <hyperlink ref="C256" r:id="rId41" display="https://spacenews.com/spacex-plans-next-starship-test-flight-in-march/" xr:uid="{C38E6F84-8BF0-4341-80BB-E5778CD739BF}"/>
  </hyperlinks>
  <pageMargins left="0.7" right="0.7" top="0.75" bottom="0.75" header="0.3" footer="0.3"/>
  <drawing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Model</vt:lpstr>
      <vt:lpstr>Tabular Data for Plots</vt:lpstr>
      <vt:lpstr>TDC Metrics</vt:lpstr>
      <vt:lpstr>Compute Metrics</vt:lpstr>
      <vt:lpstr>ODC Metrics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Pierce</dc:creator>
  <cp:lastModifiedBy>Michael Pierce</cp:lastModifiedBy>
  <dcterms:created xsi:type="dcterms:W3CDTF">2026-02-04T20:13:22Z</dcterms:created>
  <dcterms:modified xsi:type="dcterms:W3CDTF">2026-04-17T17:35:42Z</dcterms:modified>
</cp:coreProperties>
</file>